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480" windowHeight="7860" activeTab="3"/>
  </bookViews>
  <sheets>
    <sheet name="thu " sheetId="39" r:id="rId1"/>
    <sheet name="chi (2)" sheetId="44" r:id="rId2"/>
    <sheet name="thu ĐB" sheetId="42" r:id="rId3"/>
    <sheet name="chi ĐB" sheetId="43" r:id="rId4"/>
  </sheets>
  <definedNames>
    <definedName name="_xlnm.Print_Titles" localSheetId="1">'chi (2)'!$5:$7</definedName>
    <definedName name="_xlnm.Print_Titles" localSheetId="3">'chi ĐB'!$A:$A,'chi ĐB'!$4:$5</definedName>
    <definedName name="_xlnm.Print_Titles" localSheetId="2">'thu ĐB'!$A:$A,'thu ĐB'!$5:$6</definedName>
  </definedNames>
  <calcPr calcId="152511"/>
</workbook>
</file>

<file path=xl/calcChain.xml><?xml version="1.0" encoding="utf-8"?>
<calcChain xmlns="http://schemas.openxmlformats.org/spreadsheetml/2006/main">
  <c r="AZ34" i="43" l="1"/>
  <c r="BD34" i="43"/>
  <c r="BD27" i="43"/>
  <c r="BC27" i="43"/>
  <c r="AY34" i="43"/>
  <c r="AZ27" i="43"/>
  <c r="AY27" i="43"/>
  <c r="AZ19" i="43"/>
  <c r="AV34" i="43"/>
  <c r="AU34" i="43"/>
  <c r="AV35" i="43"/>
  <c r="AU35" i="43"/>
  <c r="AV22" i="43"/>
  <c r="AU22" i="43"/>
  <c r="AV19" i="43"/>
  <c r="AU19" i="43"/>
  <c r="AR34" i="43"/>
  <c r="AR35" i="43"/>
  <c r="AQ35" i="43"/>
  <c r="AR25" i="43"/>
  <c r="AQ25" i="43"/>
  <c r="AR15" i="43"/>
  <c r="AR17" i="43" s="1"/>
  <c r="AQ15" i="43"/>
  <c r="AQ17" i="43" s="1"/>
  <c r="AR33" i="43"/>
  <c r="AR22" i="43"/>
  <c r="AR19" i="43"/>
  <c r="AQ19" i="43"/>
  <c r="AN34" i="43"/>
  <c r="AM34" i="43"/>
  <c r="AN27" i="43"/>
  <c r="AM27" i="43"/>
  <c r="AN17" i="43"/>
  <c r="AM17" i="43"/>
  <c r="AJ19" i="43"/>
  <c r="AI19" i="43"/>
  <c r="AJ22" i="43"/>
  <c r="AJ15" i="43"/>
  <c r="AJ17" i="43" s="1"/>
  <c r="AJ34" i="43"/>
  <c r="AI34" i="43"/>
  <c r="AF34" i="43"/>
  <c r="AE34" i="43"/>
  <c r="AF25" i="43"/>
  <c r="AE25" i="43"/>
  <c r="AF27" i="43"/>
  <c r="AE27" i="43"/>
  <c r="AB35" i="43"/>
  <c r="AA35" i="43"/>
  <c r="AB16" i="43"/>
  <c r="AA16" i="43"/>
  <c r="AB15" i="43"/>
  <c r="AA15" i="43"/>
  <c r="AB33" i="43"/>
  <c r="AA33" i="43"/>
  <c r="AB22" i="43"/>
  <c r="AA22" i="43"/>
  <c r="AB19" i="43"/>
  <c r="AA19" i="43"/>
  <c r="X34" i="43"/>
  <c r="W34" i="43"/>
  <c r="X35" i="43"/>
  <c r="W35" i="43"/>
  <c r="X27" i="43"/>
  <c r="X17" i="43"/>
  <c r="W17" i="43"/>
  <c r="X33" i="43"/>
  <c r="W33" i="43"/>
  <c r="X19" i="43"/>
  <c r="W19" i="43"/>
  <c r="T34" i="43"/>
  <c r="T25" i="43"/>
  <c r="T15" i="43"/>
  <c r="T17" i="43" s="1"/>
  <c r="S15" i="43"/>
  <c r="S17" i="43" s="1"/>
  <c r="P15" i="43"/>
  <c r="P17" i="43" s="1"/>
  <c r="O15" i="43"/>
  <c r="O17" i="43" s="1"/>
  <c r="AA17" i="43" l="1"/>
  <c r="AB17" i="43"/>
  <c r="T8" i="43"/>
  <c r="BC8" i="43"/>
  <c r="BD8" i="43" s="1"/>
  <c r="AY8" i="43"/>
  <c r="AZ8" i="43" s="1"/>
  <c r="AU8" i="43"/>
  <c r="AM8" i="43"/>
  <c r="AE8" i="43"/>
  <c r="AF8" i="43" s="1"/>
  <c r="AA8" i="43"/>
  <c r="AB8" i="43" s="1"/>
  <c r="AV8" i="43"/>
  <c r="AN8" i="43"/>
  <c r="AR8" i="43"/>
  <c r="AJ8" i="43"/>
  <c r="W8" i="43"/>
  <c r="X8" i="43" s="1"/>
  <c r="O8" i="43"/>
  <c r="P8" i="43" s="1"/>
  <c r="BD46" i="43" l="1"/>
  <c r="AZ46" i="43"/>
  <c r="AV46" i="43"/>
  <c r="AR46" i="43"/>
  <c r="AN46" i="43"/>
  <c r="AJ46" i="43"/>
  <c r="AF46" i="43"/>
  <c r="AB46" i="43"/>
  <c r="X46" i="43"/>
  <c r="P46" i="43"/>
  <c r="BD32" i="43" l="1"/>
  <c r="BC32" i="43"/>
  <c r="BD17" i="43"/>
  <c r="BC17" i="43"/>
  <c r="AZ32" i="43"/>
  <c r="AY32" i="43"/>
  <c r="AZ17" i="43"/>
  <c r="AY17" i="43"/>
  <c r="AV32" i="43"/>
  <c r="AU32" i="43"/>
  <c r="AV17" i="43"/>
  <c r="AU17" i="43"/>
  <c r="AR32" i="43"/>
  <c r="AN32" i="43"/>
  <c r="AM32" i="43"/>
  <c r="AJ32" i="43" l="1"/>
  <c r="AI32" i="43"/>
  <c r="AI17" i="43"/>
  <c r="AF32" i="43"/>
  <c r="AE32" i="43"/>
  <c r="AF17" i="43"/>
  <c r="AE17" i="43"/>
  <c r="AB32" i="43"/>
  <c r="AA32" i="43"/>
  <c r="X32" i="43"/>
  <c r="W32" i="43"/>
  <c r="T32" i="43"/>
  <c r="P32" i="43"/>
  <c r="D34" i="43" l="1"/>
  <c r="C34" i="43"/>
  <c r="D35" i="43"/>
  <c r="C35" i="43"/>
  <c r="D25" i="43"/>
  <c r="C25" i="43"/>
  <c r="D27" i="43"/>
  <c r="C27" i="43"/>
  <c r="D16" i="43"/>
  <c r="C16" i="43"/>
  <c r="D15" i="43"/>
  <c r="C15" i="43"/>
  <c r="D33" i="43"/>
  <c r="C33" i="43"/>
  <c r="D22" i="43"/>
  <c r="C22" i="43"/>
  <c r="D20" i="43"/>
  <c r="C20" i="43"/>
  <c r="D19" i="43"/>
  <c r="C19" i="43"/>
  <c r="D32" i="43"/>
  <c r="C32" i="43"/>
  <c r="D24" i="43"/>
  <c r="C24" i="43"/>
  <c r="D23" i="43"/>
  <c r="C23" i="43"/>
  <c r="D17" i="43" l="1"/>
  <c r="C17" i="43"/>
  <c r="BD45" i="42"/>
  <c r="BD44" i="42" s="1"/>
  <c r="AZ45" i="42"/>
  <c r="AZ44" i="42" s="1"/>
  <c r="AY20" i="42"/>
  <c r="AV45" i="42"/>
  <c r="AV44" i="42" s="1"/>
  <c r="AQ44" i="42"/>
  <c r="AR32" i="42"/>
  <c r="AQ32" i="42"/>
  <c r="AN45" i="42"/>
  <c r="AN44" i="42" s="1"/>
  <c r="AJ45" i="42"/>
  <c r="AJ44" i="42" s="1"/>
  <c r="AJ32" i="42"/>
  <c r="AI32" i="42"/>
  <c r="AF45" i="42" l="1"/>
  <c r="AF44" i="42" s="1"/>
  <c r="AB45" i="42"/>
  <c r="AB44" i="42" s="1"/>
  <c r="W45" i="42"/>
  <c r="X45" i="42"/>
  <c r="X44" i="42" s="1"/>
  <c r="X32" i="42"/>
  <c r="W32" i="42"/>
  <c r="T45" i="42" l="1"/>
  <c r="T44" i="42" s="1"/>
  <c r="S45" i="42"/>
  <c r="S44" i="42" s="1"/>
  <c r="T32" i="42"/>
  <c r="D36" i="44" l="1"/>
  <c r="C36" i="44"/>
  <c r="D35" i="44"/>
  <c r="C35" i="44"/>
  <c r="D29" i="44"/>
  <c r="C29" i="44"/>
  <c r="D27" i="44"/>
  <c r="C27" i="44"/>
  <c r="D24" i="44"/>
  <c r="C24" i="44"/>
  <c r="D22" i="44"/>
  <c r="C22" i="44"/>
  <c r="D21" i="44"/>
  <c r="C21" i="44"/>
  <c r="D18" i="44"/>
  <c r="D17" i="44"/>
  <c r="C18" i="44"/>
  <c r="C17" i="44"/>
  <c r="C19" i="44" s="1"/>
  <c r="C34" i="44"/>
  <c r="D34" i="44"/>
  <c r="D26" i="44"/>
  <c r="C26" i="44"/>
  <c r="C25" i="44"/>
  <c r="D25" i="44"/>
  <c r="D19" i="44" l="1"/>
  <c r="D33" i="39"/>
  <c r="E33" i="39"/>
  <c r="AR45" i="42" l="1"/>
  <c r="AR44" i="42" s="1"/>
  <c r="E46" i="44" l="1"/>
  <c r="D45" i="44"/>
  <c r="D42" i="44" s="1"/>
  <c r="C45" i="44"/>
  <c r="C42" i="44" s="1"/>
  <c r="E44" i="44"/>
  <c r="E43" i="44"/>
  <c r="E40" i="44"/>
  <c r="E39" i="44"/>
  <c r="E38" i="44"/>
  <c r="E37" i="44"/>
  <c r="B36" i="44"/>
  <c r="E36" i="44" s="1"/>
  <c r="E35" i="44"/>
  <c r="E34" i="44"/>
  <c r="E33" i="44"/>
  <c r="D32" i="44"/>
  <c r="E32" i="44" s="1"/>
  <c r="C32" i="44"/>
  <c r="D31" i="44"/>
  <c r="E31" i="44" s="1"/>
  <c r="C31" i="44"/>
  <c r="D30" i="44"/>
  <c r="E30" i="44" s="1"/>
  <c r="C30" i="44"/>
  <c r="B29" i="44"/>
  <c r="E29" i="44" s="1"/>
  <c r="E28" i="44"/>
  <c r="E27" i="44"/>
  <c r="E26" i="44"/>
  <c r="E25" i="44"/>
  <c r="E24" i="44"/>
  <c r="E23" i="44"/>
  <c r="E22" i="44"/>
  <c r="E21" i="44"/>
  <c r="C20" i="44"/>
  <c r="B20" i="44"/>
  <c r="C16" i="44"/>
  <c r="E18" i="44"/>
  <c r="B16" i="44"/>
  <c r="E14" i="44"/>
  <c r="E13" i="44"/>
  <c r="E12" i="44"/>
  <c r="E11" i="44"/>
  <c r="B10" i="44"/>
  <c r="E47" i="44" l="1"/>
  <c r="C15" i="44"/>
  <c r="B15" i="44"/>
  <c r="E10" i="44"/>
  <c r="E19" i="44"/>
  <c r="D20" i="44"/>
  <c r="E17" i="44"/>
  <c r="B45" i="44"/>
  <c r="B42" i="44" s="1"/>
  <c r="D16" i="44"/>
  <c r="B9" i="44" l="1"/>
  <c r="B8" i="44" s="1"/>
  <c r="C9" i="44"/>
  <c r="C8" i="44" s="1"/>
  <c r="E42" i="44"/>
  <c r="E20" i="44"/>
  <c r="D15" i="44"/>
  <c r="E16" i="44"/>
  <c r="E45" i="44"/>
  <c r="D9" i="44" l="1"/>
  <c r="E15" i="44"/>
  <c r="D8" i="44" l="1"/>
  <c r="E9" i="44"/>
  <c r="E8" i="44" l="1"/>
  <c r="AS45" i="42" l="1"/>
  <c r="AO27" i="42"/>
  <c r="D31" i="39" l="1"/>
  <c r="D10" i="39" s="1"/>
  <c r="D28" i="39"/>
  <c r="D23" i="39"/>
  <c r="D17" i="39"/>
  <c r="D8" i="39" l="1"/>
  <c r="D11" i="39"/>
  <c r="D39" i="39" l="1"/>
  <c r="D38" i="39" l="1"/>
  <c r="D40" i="39"/>
  <c r="Q45" i="42" l="1"/>
  <c r="J8" i="42" l="1"/>
  <c r="F8" i="42" s="1"/>
  <c r="K8" i="42"/>
  <c r="L8" i="42"/>
  <c r="H8" i="42" s="1"/>
  <c r="J11" i="42"/>
  <c r="F11" i="42" s="1"/>
  <c r="K11" i="42"/>
  <c r="G11" i="42" s="1"/>
  <c r="L11" i="42"/>
  <c r="H11" i="42" s="1"/>
  <c r="J12" i="42"/>
  <c r="F12" i="42" s="1"/>
  <c r="K12" i="42"/>
  <c r="G12" i="42" s="1"/>
  <c r="L12" i="42"/>
  <c r="H12" i="42" s="1"/>
  <c r="J13" i="42"/>
  <c r="F13" i="42" s="1"/>
  <c r="K13" i="42"/>
  <c r="L13" i="42"/>
  <c r="H13" i="42" s="1"/>
  <c r="J14" i="42"/>
  <c r="F14" i="42" s="1"/>
  <c r="K14" i="42"/>
  <c r="G14" i="42" s="1"/>
  <c r="L14" i="42"/>
  <c r="H14" i="42" s="1"/>
  <c r="J15" i="42"/>
  <c r="F15" i="42" s="1"/>
  <c r="K15" i="42"/>
  <c r="G15" i="42" s="1"/>
  <c r="L15" i="42"/>
  <c r="H15" i="42" s="1"/>
  <c r="J16" i="42"/>
  <c r="F16" i="42" s="1"/>
  <c r="K16" i="42"/>
  <c r="G16" i="42" s="1"/>
  <c r="L16" i="42"/>
  <c r="H16" i="42" s="1"/>
  <c r="J17" i="42"/>
  <c r="F17" i="42" s="1"/>
  <c r="K17" i="42"/>
  <c r="G17" i="42" s="1"/>
  <c r="L17" i="42"/>
  <c r="H17" i="42" s="1"/>
  <c r="J18" i="42"/>
  <c r="K18" i="42"/>
  <c r="G18" i="42" s="1"/>
  <c r="L18" i="42"/>
  <c r="J19" i="42"/>
  <c r="F19" i="42" s="1"/>
  <c r="K19" i="42"/>
  <c r="G19" i="42" s="1"/>
  <c r="L19" i="42"/>
  <c r="H19" i="42" s="1"/>
  <c r="J21" i="42"/>
  <c r="F21" i="42" s="1"/>
  <c r="K21" i="42"/>
  <c r="G21" i="42" s="1"/>
  <c r="L21" i="42"/>
  <c r="H21" i="42" s="1"/>
  <c r="J22" i="42"/>
  <c r="F22" i="42" s="1"/>
  <c r="K22" i="42"/>
  <c r="G22" i="42" s="1"/>
  <c r="L22" i="42"/>
  <c r="H22" i="42" s="1"/>
  <c r="J23" i="42"/>
  <c r="F23" i="42" s="1"/>
  <c r="K23" i="42"/>
  <c r="G23" i="42" s="1"/>
  <c r="L23" i="42"/>
  <c r="H23" i="42" s="1"/>
  <c r="J24" i="42"/>
  <c r="F24" i="42" s="1"/>
  <c r="K24" i="42"/>
  <c r="G24" i="42" s="1"/>
  <c r="L24" i="42"/>
  <c r="H24" i="42" s="1"/>
  <c r="J26" i="42"/>
  <c r="F26" i="42" s="1"/>
  <c r="K26" i="42"/>
  <c r="G26" i="42" s="1"/>
  <c r="L26" i="42"/>
  <c r="H26" i="42" s="1"/>
  <c r="J27" i="42"/>
  <c r="K27" i="42"/>
  <c r="G27" i="42" s="1"/>
  <c r="L27" i="42"/>
  <c r="H27" i="42" s="1"/>
  <c r="J28" i="42"/>
  <c r="F28" i="42" s="1"/>
  <c r="K28" i="42"/>
  <c r="G28" i="42" s="1"/>
  <c r="L28" i="42"/>
  <c r="H28" i="42" s="1"/>
  <c r="J29" i="42"/>
  <c r="F29" i="42" s="1"/>
  <c r="K29" i="42"/>
  <c r="G29" i="42" s="1"/>
  <c r="L29" i="42"/>
  <c r="H29" i="42" s="1"/>
  <c r="J31" i="42"/>
  <c r="F31" i="42" s="1"/>
  <c r="K31" i="42"/>
  <c r="G31" i="42" s="1"/>
  <c r="L31" i="42"/>
  <c r="H31" i="42" s="1"/>
  <c r="J32" i="42"/>
  <c r="K32" i="42"/>
  <c r="G32" i="42" s="1"/>
  <c r="L32" i="42"/>
  <c r="H32" i="42" s="1"/>
  <c r="J33" i="42"/>
  <c r="F33" i="42" s="1"/>
  <c r="K33" i="42"/>
  <c r="G33" i="42" s="1"/>
  <c r="L33" i="42"/>
  <c r="H33" i="42" s="1"/>
  <c r="J34" i="42"/>
  <c r="F34" i="42" s="1"/>
  <c r="K34" i="42"/>
  <c r="G34" i="42" s="1"/>
  <c r="L34" i="42"/>
  <c r="H34" i="42" s="1"/>
  <c r="J35" i="42"/>
  <c r="F35" i="42" s="1"/>
  <c r="K35" i="42"/>
  <c r="G35" i="42" s="1"/>
  <c r="L35" i="42"/>
  <c r="H35" i="42" s="1"/>
  <c r="J36" i="42"/>
  <c r="F36" i="42" s="1"/>
  <c r="K36" i="42"/>
  <c r="G36" i="42" s="1"/>
  <c r="L36" i="42"/>
  <c r="H36" i="42" s="1"/>
  <c r="J42" i="42"/>
  <c r="F42" i="42" s="1"/>
  <c r="K42" i="42"/>
  <c r="G42" i="42" s="1"/>
  <c r="L42" i="42"/>
  <c r="H42" i="42" s="1"/>
  <c r="J43" i="42"/>
  <c r="F43" i="42" s="1"/>
  <c r="K43" i="42"/>
  <c r="G43" i="42" s="1"/>
  <c r="L43" i="42"/>
  <c r="H43" i="42" s="1"/>
  <c r="J44" i="42"/>
  <c r="F44" i="42" s="1"/>
  <c r="L44" i="42"/>
  <c r="H44" i="42" s="1"/>
  <c r="J45" i="42"/>
  <c r="F45" i="42" s="1"/>
  <c r="L45" i="42"/>
  <c r="H45" i="42" s="1"/>
  <c r="J46" i="42"/>
  <c r="F46" i="42" s="1"/>
  <c r="K46" i="42"/>
  <c r="G46" i="42" s="1"/>
  <c r="L46" i="42"/>
  <c r="H46" i="42" s="1"/>
  <c r="J47" i="42"/>
  <c r="F47" i="42" s="1"/>
  <c r="K47" i="42"/>
  <c r="G47" i="42" s="1"/>
  <c r="L47" i="42"/>
  <c r="H47" i="42" s="1"/>
  <c r="J48" i="42"/>
  <c r="K48" i="42"/>
  <c r="L48" i="42"/>
  <c r="G8" i="42"/>
  <c r="G13" i="42"/>
  <c r="F18" i="42"/>
  <c r="H18" i="42"/>
  <c r="F27" i="42"/>
  <c r="F32" i="42"/>
  <c r="F48" i="42"/>
  <c r="G48" i="42"/>
  <c r="H48" i="42"/>
  <c r="K8" i="43"/>
  <c r="G8" i="43" s="1"/>
  <c r="L8" i="43"/>
  <c r="J9" i="43"/>
  <c r="F9" i="43" s="1"/>
  <c r="K9" i="43"/>
  <c r="G9" i="43" s="1"/>
  <c r="L9" i="43"/>
  <c r="H9" i="43" s="1"/>
  <c r="J10" i="43"/>
  <c r="F10" i="43" s="1"/>
  <c r="K10" i="43"/>
  <c r="G10" i="43" s="1"/>
  <c r="L10" i="43"/>
  <c r="H10" i="43" s="1"/>
  <c r="J11" i="43"/>
  <c r="F11" i="43" s="1"/>
  <c r="K11" i="43"/>
  <c r="G11" i="43" s="1"/>
  <c r="L11" i="43"/>
  <c r="H11" i="43" s="1"/>
  <c r="J12" i="43"/>
  <c r="F12" i="43" s="1"/>
  <c r="K12" i="43"/>
  <c r="G12" i="43" s="1"/>
  <c r="L12" i="43"/>
  <c r="H12" i="43" s="1"/>
  <c r="J15" i="43"/>
  <c r="K15" i="43"/>
  <c r="G15" i="43" s="1"/>
  <c r="L15" i="43"/>
  <c r="H15" i="43" s="1"/>
  <c r="J16" i="43"/>
  <c r="F16" i="43" s="1"/>
  <c r="K16" i="43"/>
  <c r="G16" i="43" s="1"/>
  <c r="L16" i="43"/>
  <c r="H16" i="43" s="1"/>
  <c r="J19" i="43"/>
  <c r="F19" i="43" s="1"/>
  <c r="K19" i="43"/>
  <c r="G19" i="43" s="1"/>
  <c r="L19" i="43"/>
  <c r="H19" i="43" s="1"/>
  <c r="J20" i="43"/>
  <c r="F20" i="43" s="1"/>
  <c r="K20" i="43"/>
  <c r="G20" i="43" s="1"/>
  <c r="L20" i="43"/>
  <c r="H20" i="43" s="1"/>
  <c r="J21" i="43"/>
  <c r="F21" i="43" s="1"/>
  <c r="K21" i="43"/>
  <c r="G21" i="43" s="1"/>
  <c r="L21" i="43"/>
  <c r="H21" i="43" s="1"/>
  <c r="J22" i="43"/>
  <c r="K22" i="43"/>
  <c r="G22" i="43" s="1"/>
  <c r="L22" i="43"/>
  <c r="H22" i="43" s="1"/>
  <c r="J23" i="43"/>
  <c r="F23" i="43" s="1"/>
  <c r="K23" i="43"/>
  <c r="G23" i="43" s="1"/>
  <c r="L23" i="43"/>
  <c r="H23" i="43" s="1"/>
  <c r="J24" i="43"/>
  <c r="F24" i="43" s="1"/>
  <c r="K24" i="43"/>
  <c r="G24" i="43" s="1"/>
  <c r="L24" i="43"/>
  <c r="H24" i="43" s="1"/>
  <c r="J25" i="43"/>
  <c r="F25" i="43" s="1"/>
  <c r="K25" i="43"/>
  <c r="G25" i="43" s="1"/>
  <c r="L25" i="43"/>
  <c r="H25" i="43" s="1"/>
  <c r="J26" i="43"/>
  <c r="F26" i="43" s="1"/>
  <c r="K26" i="43"/>
  <c r="G26" i="43" s="1"/>
  <c r="L26" i="43"/>
  <c r="H26" i="43" s="1"/>
  <c r="K27" i="43"/>
  <c r="G27" i="43" s="1"/>
  <c r="L27" i="43"/>
  <c r="H27" i="43" s="1"/>
  <c r="J28" i="43"/>
  <c r="F28" i="43" s="1"/>
  <c r="K28" i="43"/>
  <c r="G28" i="43" s="1"/>
  <c r="L28" i="43"/>
  <c r="H28" i="43" s="1"/>
  <c r="J29" i="43"/>
  <c r="F29" i="43" s="1"/>
  <c r="K29" i="43"/>
  <c r="G29" i="43" s="1"/>
  <c r="L29" i="43"/>
  <c r="H29" i="43" s="1"/>
  <c r="J30" i="43"/>
  <c r="F30" i="43" s="1"/>
  <c r="K30" i="43"/>
  <c r="G30" i="43" s="1"/>
  <c r="L30" i="43"/>
  <c r="H30" i="43" s="1"/>
  <c r="J31" i="43"/>
  <c r="F31" i="43" s="1"/>
  <c r="K31" i="43"/>
  <c r="G31" i="43" s="1"/>
  <c r="L31" i="43"/>
  <c r="H31" i="43" s="1"/>
  <c r="J32" i="43"/>
  <c r="F32" i="43" s="1"/>
  <c r="K32" i="43"/>
  <c r="G32" i="43" s="1"/>
  <c r="L32" i="43"/>
  <c r="H32" i="43" s="1"/>
  <c r="J33" i="43"/>
  <c r="F33" i="43" s="1"/>
  <c r="K33" i="43"/>
  <c r="G33" i="43" s="1"/>
  <c r="L33" i="43"/>
  <c r="H33" i="43" s="1"/>
  <c r="J34" i="43"/>
  <c r="K34" i="43"/>
  <c r="G34" i="43" s="1"/>
  <c r="L34" i="43"/>
  <c r="H34" i="43" s="1"/>
  <c r="J35" i="43"/>
  <c r="K35" i="43"/>
  <c r="G35" i="43" s="1"/>
  <c r="L35" i="43"/>
  <c r="H35" i="43" s="1"/>
  <c r="J36" i="43"/>
  <c r="F36" i="43" s="1"/>
  <c r="K36" i="43"/>
  <c r="G36" i="43" s="1"/>
  <c r="L36" i="43"/>
  <c r="H36" i="43" s="1"/>
  <c r="J37" i="43"/>
  <c r="F37" i="43" s="1"/>
  <c r="K37" i="43"/>
  <c r="G37" i="43" s="1"/>
  <c r="L37" i="43"/>
  <c r="H37" i="43" s="1"/>
  <c r="J38" i="43"/>
  <c r="F38" i="43" s="1"/>
  <c r="K38" i="43"/>
  <c r="G38" i="43" s="1"/>
  <c r="L38" i="43"/>
  <c r="H38" i="43" s="1"/>
  <c r="J39" i="43"/>
  <c r="F39" i="43" s="1"/>
  <c r="K39" i="43"/>
  <c r="G39" i="43" s="1"/>
  <c r="L39" i="43"/>
  <c r="H39" i="43" s="1"/>
  <c r="J41" i="43"/>
  <c r="F41" i="43" s="1"/>
  <c r="K41" i="43"/>
  <c r="G41" i="43" s="1"/>
  <c r="L41" i="43"/>
  <c r="H41" i="43" s="1"/>
  <c r="J42" i="43"/>
  <c r="F42" i="43" s="1"/>
  <c r="K42" i="43"/>
  <c r="G42" i="43" s="1"/>
  <c r="L42" i="43"/>
  <c r="H42" i="43" s="1"/>
  <c r="J43" i="43"/>
  <c r="F43" i="43" s="1"/>
  <c r="K43" i="43"/>
  <c r="G43" i="43" s="1"/>
  <c r="L43" i="43"/>
  <c r="H43" i="43" s="1"/>
  <c r="J44" i="43"/>
  <c r="F44" i="43" s="1"/>
  <c r="K44" i="43"/>
  <c r="G44" i="43" s="1"/>
  <c r="L44" i="43"/>
  <c r="H44" i="43" s="1"/>
  <c r="J45" i="43"/>
  <c r="F45" i="43" s="1"/>
  <c r="J46" i="43"/>
  <c r="F46" i="43" s="1"/>
  <c r="K46" i="43"/>
  <c r="G46" i="43" s="1"/>
  <c r="L46" i="43"/>
  <c r="H46" i="43" s="1"/>
  <c r="J47" i="43"/>
  <c r="F47" i="43" s="1"/>
  <c r="K47" i="43"/>
  <c r="G47" i="43" s="1"/>
  <c r="L47" i="43"/>
  <c r="H47" i="43" s="1"/>
  <c r="F22" i="43"/>
  <c r="F34" i="43"/>
  <c r="I28" i="42" l="1"/>
  <c r="I27" i="42"/>
  <c r="I26" i="42"/>
  <c r="I47" i="43"/>
  <c r="I46" i="43"/>
  <c r="H8" i="43"/>
  <c r="AQ45" i="43" l="1"/>
  <c r="AQ40" i="43" s="1"/>
  <c r="AM45" i="43"/>
  <c r="AM40" i="43" s="1"/>
  <c r="L17" i="43"/>
  <c r="K17" i="43"/>
  <c r="G17" i="43" s="1"/>
  <c r="AA45" i="43"/>
  <c r="AA40" i="43" s="1"/>
  <c r="AE45" i="43"/>
  <c r="AE40" i="43" s="1"/>
  <c r="AI45" i="43"/>
  <c r="AI40" i="43" s="1"/>
  <c r="BC45" i="43"/>
  <c r="BC40" i="43" s="1"/>
  <c r="AY45" i="43"/>
  <c r="AY40" i="43" s="1"/>
  <c r="AU45" i="43"/>
  <c r="W45" i="43"/>
  <c r="W40" i="43" s="1"/>
  <c r="S45" i="43"/>
  <c r="S40" i="43" s="1"/>
  <c r="O45" i="43"/>
  <c r="O40" i="43" s="1"/>
  <c r="K45" i="43" l="1"/>
  <c r="AU40" i="43"/>
  <c r="K40" i="43" s="1"/>
  <c r="H17" i="43" l="1"/>
  <c r="C45" i="43" l="1"/>
  <c r="G45" i="43" s="1"/>
  <c r="BB30" i="42" l="1"/>
  <c r="BB25" i="42"/>
  <c r="BB20" i="42"/>
  <c r="AX30" i="42"/>
  <c r="AX25" i="42"/>
  <c r="AX20" i="42"/>
  <c r="AT30" i="42"/>
  <c r="AT25" i="42"/>
  <c r="AT20" i="42"/>
  <c r="AP30" i="42"/>
  <c r="AP25" i="42"/>
  <c r="AP20" i="42"/>
  <c r="AL30" i="42"/>
  <c r="AL25" i="42"/>
  <c r="AL20" i="42"/>
  <c r="AH30" i="42"/>
  <c r="AH25" i="42"/>
  <c r="AH20" i="42"/>
  <c r="AD30" i="42"/>
  <c r="AD25" i="42"/>
  <c r="AD20" i="42"/>
  <c r="Z30" i="42"/>
  <c r="Z25" i="42"/>
  <c r="Z20" i="42"/>
  <c r="V30" i="42"/>
  <c r="V25" i="42"/>
  <c r="V20" i="42"/>
  <c r="R30" i="42"/>
  <c r="R25" i="42"/>
  <c r="R20" i="42"/>
  <c r="N30" i="42"/>
  <c r="N25" i="42"/>
  <c r="N20" i="42"/>
  <c r="J30" i="42" l="1"/>
  <c r="J20" i="42"/>
  <c r="J25" i="42"/>
  <c r="BC45" i="42"/>
  <c r="BC44" i="42" s="1"/>
  <c r="AY45" i="42"/>
  <c r="AY44" i="42" s="1"/>
  <c r="BA19" i="42"/>
  <c r="BA18" i="42"/>
  <c r="AU45" i="42"/>
  <c r="AU44" i="42" s="1"/>
  <c r="AM45" i="42" l="1"/>
  <c r="AM44" i="42" s="1"/>
  <c r="AI45" i="42" l="1"/>
  <c r="AI44" i="42" s="1"/>
  <c r="AE45" i="42"/>
  <c r="AE44" i="42" s="1"/>
  <c r="AA45" i="42"/>
  <c r="W44" i="42"/>
  <c r="AA44" i="42" l="1"/>
  <c r="K44" i="42" s="1"/>
  <c r="G44" i="42" s="1"/>
  <c r="K45" i="42"/>
  <c r="G45" i="42" s="1"/>
  <c r="E47" i="43"/>
  <c r="E46" i="43"/>
  <c r="BD45" i="43"/>
  <c r="BD40" i="43" s="1"/>
  <c r="AZ45" i="43"/>
  <c r="AZ40" i="43" s="1"/>
  <c r="AV45" i="43"/>
  <c r="AV40" i="43" s="1"/>
  <c r="AR45" i="43"/>
  <c r="AR40" i="43" s="1"/>
  <c r="AN45" i="43"/>
  <c r="AN40" i="43" s="1"/>
  <c r="AJ45" i="43"/>
  <c r="AJ40" i="43" s="1"/>
  <c r="AF45" i="43"/>
  <c r="AF40" i="43" s="1"/>
  <c r="AB45" i="43"/>
  <c r="AB40" i="43" s="1"/>
  <c r="X45" i="43"/>
  <c r="X40" i="43" s="1"/>
  <c r="T45" i="43"/>
  <c r="T40" i="43" s="1"/>
  <c r="P45" i="43"/>
  <c r="P40" i="43" s="1"/>
  <c r="D45" i="43"/>
  <c r="BE44" i="43"/>
  <c r="BA44" i="43"/>
  <c r="AW44" i="43"/>
  <c r="AS44" i="43"/>
  <c r="AO44" i="43"/>
  <c r="AK44" i="43"/>
  <c r="AG44" i="43"/>
  <c r="AC44" i="43"/>
  <c r="Y44" i="43"/>
  <c r="U44" i="43"/>
  <c r="Q44" i="43"/>
  <c r="E44" i="43"/>
  <c r="BE43" i="43"/>
  <c r="BA43" i="43"/>
  <c r="AW43" i="43"/>
  <c r="AS43" i="43"/>
  <c r="AO43" i="43"/>
  <c r="AK43" i="43"/>
  <c r="AG43" i="43"/>
  <c r="AC43" i="43"/>
  <c r="Y43" i="43"/>
  <c r="U43" i="43"/>
  <c r="Q43" i="43"/>
  <c r="E43" i="43"/>
  <c r="E42" i="43"/>
  <c r="E41" i="43"/>
  <c r="BB40" i="43"/>
  <c r="AX40" i="43"/>
  <c r="AT40" i="43"/>
  <c r="AP40" i="43"/>
  <c r="AL40" i="43"/>
  <c r="AH40" i="43"/>
  <c r="AD40" i="43"/>
  <c r="Z40" i="43"/>
  <c r="V40" i="43"/>
  <c r="R40" i="43"/>
  <c r="N40" i="43"/>
  <c r="C40" i="43"/>
  <c r="G40" i="43" s="1"/>
  <c r="B40" i="43"/>
  <c r="E39" i="43"/>
  <c r="E38" i="43"/>
  <c r="E37" i="43"/>
  <c r="E36" i="43"/>
  <c r="BE35" i="43"/>
  <c r="BA35" i="43"/>
  <c r="AW35" i="43"/>
  <c r="AS35" i="43"/>
  <c r="AO35" i="43"/>
  <c r="AK35" i="43"/>
  <c r="AG35" i="43"/>
  <c r="AC35" i="43"/>
  <c r="Y35" i="43"/>
  <c r="U35" i="43"/>
  <c r="Q35" i="43"/>
  <c r="B35" i="43"/>
  <c r="F35" i="43" s="1"/>
  <c r="BA34" i="43"/>
  <c r="AW34" i="43"/>
  <c r="AS34" i="43"/>
  <c r="AO34" i="43"/>
  <c r="AK34" i="43"/>
  <c r="AG34" i="43"/>
  <c r="AC34" i="43"/>
  <c r="Y34" i="43"/>
  <c r="U34" i="43"/>
  <c r="Q34" i="43"/>
  <c r="E34" i="43"/>
  <c r="BE33" i="43"/>
  <c r="BA33" i="43"/>
  <c r="AW33" i="43"/>
  <c r="AS33" i="43"/>
  <c r="AO33" i="43"/>
  <c r="AK33" i="43"/>
  <c r="AG33" i="43"/>
  <c r="AC33" i="43"/>
  <c r="Y33" i="43"/>
  <c r="U33" i="43"/>
  <c r="Q33" i="43"/>
  <c r="E33" i="43"/>
  <c r="BE32" i="43"/>
  <c r="BA32" i="43"/>
  <c r="AW32" i="43"/>
  <c r="AS32" i="43"/>
  <c r="AO32" i="43"/>
  <c r="AK32" i="43"/>
  <c r="AG32" i="43"/>
  <c r="AC32" i="43"/>
  <c r="Y32" i="43"/>
  <c r="U32" i="43"/>
  <c r="Q32" i="43"/>
  <c r="E32" i="43"/>
  <c r="BE31" i="43"/>
  <c r="BA31" i="43"/>
  <c r="AW31" i="43"/>
  <c r="AS31" i="43"/>
  <c r="AO31" i="43"/>
  <c r="AK31" i="43"/>
  <c r="AG31" i="43"/>
  <c r="AC31" i="43"/>
  <c r="Y31" i="43"/>
  <c r="U31" i="43"/>
  <c r="Q31" i="43"/>
  <c r="E31" i="43"/>
  <c r="BE30" i="43"/>
  <c r="BA30" i="43"/>
  <c r="AW30" i="43"/>
  <c r="AS30" i="43"/>
  <c r="AO30" i="43"/>
  <c r="AK30" i="43"/>
  <c r="AG30" i="43"/>
  <c r="AC30" i="43"/>
  <c r="Y30" i="43"/>
  <c r="U30" i="43"/>
  <c r="Q30" i="43"/>
  <c r="BE29" i="43"/>
  <c r="BA29" i="43"/>
  <c r="AW29" i="43"/>
  <c r="AS29" i="43"/>
  <c r="AO29" i="43"/>
  <c r="AK29" i="43"/>
  <c r="AG29" i="43"/>
  <c r="AC29" i="43"/>
  <c r="Y29" i="43"/>
  <c r="U29" i="43"/>
  <c r="Q29" i="43"/>
  <c r="E29" i="43"/>
  <c r="BE28" i="43"/>
  <c r="BA28" i="43"/>
  <c r="AW28" i="43"/>
  <c r="AS28" i="43"/>
  <c r="AO28" i="43"/>
  <c r="AK28" i="43"/>
  <c r="AG28" i="43"/>
  <c r="AC28" i="43"/>
  <c r="Y28" i="43"/>
  <c r="U28" i="43"/>
  <c r="Q28" i="43"/>
  <c r="E28" i="43"/>
  <c r="BB27" i="43"/>
  <c r="AX27" i="43"/>
  <c r="AT27" i="43"/>
  <c r="AW27" i="43" s="1"/>
  <c r="AP27" i="43"/>
  <c r="AS27" i="43" s="1"/>
  <c r="AL27" i="43"/>
  <c r="AO27" i="43" s="1"/>
  <c r="AH27" i="43"/>
  <c r="AK27" i="43" s="1"/>
  <c r="AD27" i="43"/>
  <c r="Z27" i="43"/>
  <c r="AC27" i="43" s="1"/>
  <c r="V27" i="43"/>
  <c r="R27" i="43"/>
  <c r="U27" i="43" s="1"/>
  <c r="N27" i="43"/>
  <c r="Q27" i="43" s="1"/>
  <c r="B27" i="43"/>
  <c r="E27" i="43" s="1"/>
  <c r="BE26" i="43"/>
  <c r="BA26" i="43"/>
  <c r="AW26" i="43"/>
  <c r="AS26" i="43"/>
  <c r="AO26" i="43"/>
  <c r="AK26" i="43"/>
  <c r="AG26" i="43"/>
  <c r="AC26" i="43"/>
  <c r="Y26" i="43"/>
  <c r="U26" i="43"/>
  <c r="Q26" i="43"/>
  <c r="E26" i="43"/>
  <c r="BE25" i="43"/>
  <c r="BA25" i="43"/>
  <c r="AW25" i="43"/>
  <c r="AS25" i="43"/>
  <c r="AO25" i="43"/>
  <c r="AK25" i="43"/>
  <c r="AG25" i="43"/>
  <c r="AC25" i="43"/>
  <c r="Y25" i="43"/>
  <c r="U25" i="43"/>
  <c r="Q25" i="43"/>
  <c r="E25" i="43"/>
  <c r="BE24" i="43"/>
  <c r="BA24" i="43"/>
  <c r="AW24" i="43"/>
  <c r="AS24" i="43"/>
  <c r="AO24" i="43"/>
  <c r="AK24" i="43"/>
  <c r="AG24" i="43"/>
  <c r="AC24" i="43"/>
  <c r="Y24" i="43"/>
  <c r="U24" i="43"/>
  <c r="Q24" i="43"/>
  <c r="BE23" i="43"/>
  <c r="BA23" i="43"/>
  <c r="AW23" i="43"/>
  <c r="AS23" i="43"/>
  <c r="AO23" i="43"/>
  <c r="AK23" i="43"/>
  <c r="AG23" i="43"/>
  <c r="AC23" i="43"/>
  <c r="Y23" i="43"/>
  <c r="U23" i="43"/>
  <c r="Q23" i="43"/>
  <c r="E23" i="43"/>
  <c r="BE22" i="43"/>
  <c r="BA22" i="43"/>
  <c r="AW22" i="43"/>
  <c r="AS22" i="43"/>
  <c r="AO22" i="43"/>
  <c r="AK22" i="43"/>
  <c r="AG22" i="43"/>
  <c r="AC22" i="43"/>
  <c r="Y22" i="43"/>
  <c r="U22" i="43"/>
  <c r="Q22" i="43"/>
  <c r="E22" i="43"/>
  <c r="E21" i="43"/>
  <c r="BE20" i="43"/>
  <c r="BA20" i="43"/>
  <c r="AW20" i="43"/>
  <c r="AS20" i="43"/>
  <c r="AO20" i="43"/>
  <c r="AK20" i="43"/>
  <c r="AG20" i="43"/>
  <c r="AC20" i="43"/>
  <c r="Y20" i="43"/>
  <c r="U20" i="43"/>
  <c r="Q20" i="43"/>
  <c r="E20" i="43"/>
  <c r="BE19" i="43"/>
  <c r="BA19" i="43"/>
  <c r="AW19" i="43"/>
  <c r="AS19" i="43"/>
  <c r="AO19" i="43"/>
  <c r="AK19" i="43"/>
  <c r="AG19" i="43"/>
  <c r="AC19" i="43"/>
  <c r="Y19" i="43"/>
  <c r="U19" i="43"/>
  <c r="Q19" i="43"/>
  <c r="E19" i="43"/>
  <c r="BD18" i="43"/>
  <c r="BC18" i="43"/>
  <c r="BB18" i="43"/>
  <c r="AZ18" i="43"/>
  <c r="AY18" i="43"/>
  <c r="AX18" i="43"/>
  <c r="AV18" i="43"/>
  <c r="AU18" i="43"/>
  <c r="AT18" i="43"/>
  <c r="AR18" i="43"/>
  <c r="AQ18" i="43"/>
  <c r="AP18" i="43"/>
  <c r="AN18" i="43"/>
  <c r="AM18" i="43"/>
  <c r="AL18" i="43"/>
  <c r="AJ18" i="43"/>
  <c r="AI18" i="43"/>
  <c r="AH18" i="43"/>
  <c r="AF18" i="43"/>
  <c r="AE18" i="43"/>
  <c r="AD18" i="43"/>
  <c r="AB18" i="43"/>
  <c r="AA18" i="43"/>
  <c r="Z18" i="43"/>
  <c r="X18" i="43"/>
  <c r="W18" i="43"/>
  <c r="V18" i="43"/>
  <c r="T18" i="43"/>
  <c r="S18" i="43"/>
  <c r="R18" i="43"/>
  <c r="P18" i="43"/>
  <c r="O18" i="43"/>
  <c r="N18" i="43"/>
  <c r="C18" i="43"/>
  <c r="B18" i="43"/>
  <c r="BB17" i="43"/>
  <c r="BE17" i="43" s="1"/>
  <c r="AX17" i="43"/>
  <c r="BA17" i="43" s="1"/>
  <c r="AT17" i="43"/>
  <c r="AW17" i="43" s="1"/>
  <c r="AP17" i="43"/>
  <c r="AP14" i="43" s="1"/>
  <c r="AL17" i="43"/>
  <c r="AO17" i="43" s="1"/>
  <c r="AH17" i="43"/>
  <c r="AD17" i="43"/>
  <c r="AD14" i="43" s="1"/>
  <c r="Z17" i="43"/>
  <c r="Z14" i="43" s="1"/>
  <c r="V17" i="43"/>
  <c r="Y17" i="43" s="1"/>
  <c r="R17" i="43"/>
  <c r="N17" i="43"/>
  <c r="B17" i="43"/>
  <c r="BE16" i="43"/>
  <c r="BA16" i="43"/>
  <c r="AW16" i="43"/>
  <c r="AS16" i="43"/>
  <c r="AO16" i="43"/>
  <c r="AK16" i="43"/>
  <c r="AG16" i="43"/>
  <c r="AC16" i="43"/>
  <c r="Y16" i="43"/>
  <c r="U16" i="43"/>
  <c r="Q16" i="43"/>
  <c r="E16" i="43"/>
  <c r="BE15" i="43"/>
  <c r="BA15" i="43"/>
  <c r="AW15" i="43"/>
  <c r="AS15" i="43"/>
  <c r="AO15" i="43"/>
  <c r="AG15" i="43"/>
  <c r="AC15" i="43"/>
  <c r="Y15" i="43"/>
  <c r="U15" i="43"/>
  <c r="Q15" i="43"/>
  <c r="B15" i="43"/>
  <c r="F15" i="43" s="1"/>
  <c r="BD14" i="43"/>
  <c r="BC14" i="43"/>
  <c r="AZ14" i="43"/>
  <c r="AY14" i="43"/>
  <c r="AX14" i="43"/>
  <c r="AX13" i="43" s="1"/>
  <c r="AV14" i="43"/>
  <c r="AU14" i="43"/>
  <c r="AT14" i="43"/>
  <c r="AQ14" i="43"/>
  <c r="AN14" i="43"/>
  <c r="AM14" i="43"/>
  <c r="AI14" i="43"/>
  <c r="AH14" i="43"/>
  <c r="AH13" i="43" s="1"/>
  <c r="AE14" i="43"/>
  <c r="AB14" i="43"/>
  <c r="AA14" i="43"/>
  <c r="X14" i="43"/>
  <c r="W14" i="43"/>
  <c r="V14" i="43"/>
  <c r="T14" i="43"/>
  <c r="S14" i="43"/>
  <c r="R14" i="43"/>
  <c r="P14" i="43"/>
  <c r="O14" i="43"/>
  <c r="C14" i="43"/>
  <c r="BE12" i="43"/>
  <c r="BA12" i="43"/>
  <c r="AW12" i="43"/>
  <c r="AS12" i="43"/>
  <c r="AO12" i="43"/>
  <c r="AK12" i="43"/>
  <c r="AG12" i="43"/>
  <c r="AC12" i="43"/>
  <c r="Y12" i="43"/>
  <c r="U12" i="43"/>
  <c r="Q12" i="43"/>
  <c r="E12" i="43"/>
  <c r="E11" i="43"/>
  <c r="E10" i="43"/>
  <c r="E9" i="43"/>
  <c r="BB8" i="43"/>
  <c r="BE8" i="43" s="1"/>
  <c r="AX8" i="43"/>
  <c r="BA8" i="43" s="1"/>
  <c r="AT8" i="43"/>
  <c r="AW8" i="43" s="1"/>
  <c r="AP8" i="43"/>
  <c r="AS8" i="43" s="1"/>
  <c r="AL8" i="43"/>
  <c r="AO8" i="43" s="1"/>
  <c r="AH8" i="43"/>
  <c r="AD8" i="43"/>
  <c r="AG8" i="43" s="1"/>
  <c r="Z8" i="43"/>
  <c r="AC8" i="43" s="1"/>
  <c r="V8" i="43"/>
  <c r="Y8" i="43" s="1"/>
  <c r="R8" i="43"/>
  <c r="N8" i="43"/>
  <c r="Q8" i="43" s="1"/>
  <c r="B8" i="43"/>
  <c r="BE47" i="42"/>
  <c r="BA47" i="42"/>
  <c r="AW47" i="42"/>
  <c r="AS47" i="42"/>
  <c r="AO47" i="42"/>
  <c r="AK47" i="42"/>
  <c r="AG47" i="42"/>
  <c r="AC47" i="42"/>
  <c r="Y47" i="42"/>
  <c r="U47" i="42"/>
  <c r="Q47" i="42"/>
  <c r="E47" i="42"/>
  <c r="I46" i="42"/>
  <c r="E46" i="42"/>
  <c r="BE45" i="42"/>
  <c r="BA45" i="42"/>
  <c r="AW45" i="42"/>
  <c r="AK45" i="42"/>
  <c r="AC45" i="42"/>
  <c r="Y45" i="42"/>
  <c r="U45" i="42"/>
  <c r="E45" i="42"/>
  <c r="BA44" i="42"/>
  <c r="AS44" i="42"/>
  <c r="AC44" i="42"/>
  <c r="Y44" i="42"/>
  <c r="Q44" i="42"/>
  <c r="E44" i="42"/>
  <c r="BE43" i="42"/>
  <c r="BA43" i="42"/>
  <c r="AW43" i="42"/>
  <c r="AS43" i="42"/>
  <c r="AO43" i="42"/>
  <c r="AK43" i="42"/>
  <c r="AG43" i="42"/>
  <c r="AC43" i="42"/>
  <c r="Y43" i="42"/>
  <c r="U43" i="42"/>
  <c r="Q43" i="42"/>
  <c r="M43" i="42"/>
  <c r="I43" i="42"/>
  <c r="E43" i="42"/>
  <c r="BE42" i="42"/>
  <c r="BA42" i="42"/>
  <c r="AW42" i="42"/>
  <c r="AS42" i="42"/>
  <c r="AO42" i="42"/>
  <c r="AK42" i="42"/>
  <c r="AG42" i="42"/>
  <c r="AC42" i="42"/>
  <c r="Y42" i="42"/>
  <c r="U42" i="42"/>
  <c r="Q42" i="42"/>
  <c r="M42" i="42"/>
  <c r="I42" i="42"/>
  <c r="E42" i="42"/>
  <c r="E36" i="42"/>
  <c r="E35" i="42"/>
  <c r="E34" i="42"/>
  <c r="BE32" i="42"/>
  <c r="BA32" i="42"/>
  <c r="AW32" i="42"/>
  <c r="AS32" i="42"/>
  <c r="AO32" i="42"/>
  <c r="AG32" i="42"/>
  <c r="AC32" i="42"/>
  <c r="Y32" i="42"/>
  <c r="U32" i="42"/>
  <c r="Q32" i="42"/>
  <c r="E32" i="42"/>
  <c r="BE31" i="42"/>
  <c r="BA31" i="42"/>
  <c r="AW31" i="42"/>
  <c r="AS31" i="42"/>
  <c r="AO31" i="42"/>
  <c r="AK31" i="42"/>
  <c r="AG31" i="42"/>
  <c r="AC31" i="42"/>
  <c r="Y31" i="42"/>
  <c r="U31" i="42"/>
  <c r="Q31" i="42"/>
  <c r="E31" i="42"/>
  <c r="BD30" i="42"/>
  <c r="BE30" i="42" s="1"/>
  <c r="BC30" i="42"/>
  <c r="BC9" i="42" s="1"/>
  <c r="BC41" i="42" s="1"/>
  <c r="AZ30" i="42"/>
  <c r="BA30" i="42" s="1"/>
  <c r="AY30" i="42"/>
  <c r="AV30" i="42"/>
  <c r="AW30" i="42" s="1"/>
  <c r="AU30" i="42"/>
  <c r="AU9" i="42" s="1"/>
  <c r="AU41" i="42" s="1"/>
  <c r="AR30" i="42"/>
  <c r="AS30" i="42" s="1"/>
  <c r="AQ30" i="42"/>
  <c r="AN30" i="42"/>
  <c r="AO30" i="42" s="1"/>
  <c r="AM30" i="42"/>
  <c r="AI30" i="42"/>
  <c r="AI9" i="42" s="1"/>
  <c r="AI41" i="42" s="1"/>
  <c r="AF30" i="42"/>
  <c r="AG30" i="42" s="1"/>
  <c r="AE30" i="42"/>
  <c r="AE9" i="42" s="1"/>
  <c r="AE41" i="42" s="1"/>
  <c r="AB30" i="42"/>
  <c r="AB9" i="42" s="1"/>
  <c r="AB41" i="42" s="1"/>
  <c r="AA30" i="42"/>
  <c r="AA9" i="42" s="1"/>
  <c r="AA41" i="42" s="1"/>
  <c r="X30" i="42"/>
  <c r="X9" i="42" s="1"/>
  <c r="X41" i="42" s="1"/>
  <c r="W30" i="42"/>
  <c r="W9" i="42" s="1"/>
  <c r="W41" i="42" s="1"/>
  <c r="T30" i="42"/>
  <c r="U30" i="42" s="1"/>
  <c r="S30" i="42"/>
  <c r="S9" i="42" s="1"/>
  <c r="S41" i="42" s="1"/>
  <c r="P30" i="42"/>
  <c r="O30" i="42"/>
  <c r="D30" i="42"/>
  <c r="D9" i="42" s="1"/>
  <c r="D41" i="42" s="1"/>
  <c r="C30" i="42"/>
  <c r="B30" i="42"/>
  <c r="F30" i="42" s="1"/>
  <c r="BE29" i="42"/>
  <c r="Q29" i="42"/>
  <c r="E29" i="42"/>
  <c r="BE27" i="42"/>
  <c r="AW27" i="42"/>
  <c r="AK27" i="42"/>
  <c r="AG27" i="42"/>
  <c r="AC27" i="42"/>
  <c r="Y27" i="42"/>
  <c r="U27" i="42"/>
  <c r="Q27" i="42"/>
  <c r="E27" i="42"/>
  <c r="BE26" i="42"/>
  <c r="BA26" i="42"/>
  <c r="AW26" i="42"/>
  <c r="AS26" i="42"/>
  <c r="AO26" i="42"/>
  <c r="AK26" i="42"/>
  <c r="AG26" i="42"/>
  <c r="AC26" i="42"/>
  <c r="Y26" i="42"/>
  <c r="U26" i="42"/>
  <c r="Q26" i="42"/>
  <c r="E26" i="42"/>
  <c r="BD25" i="42"/>
  <c r="BE25" i="42" s="1"/>
  <c r="BC25" i="42"/>
  <c r="AZ25" i="42"/>
  <c r="BA25" i="42" s="1"/>
  <c r="AY25" i="42"/>
  <c r="AV25" i="42"/>
  <c r="AW25" i="42" s="1"/>
  <c r="AU25" i="42"/>
  <c r="AR25" i="42"/>
  <c r="AS25" i="42" s="1"/>
  <c r="AQ25" i="42"/>
  <c r="AN25" i="42"/>
  <c r="AO25" i="42" s="1"/>
  <c r="AM25" i="42"/>
  <c r="AJ25" i="42"/>
  <c r="AK25" i="42" s="1"/>
  <c r="AI25" i="42"/>
  <c r="AF25" i="42"/>
  <c r="AG25" i="42" s="1"/>
  <c r="AE25" i="42"/>
  <c r="AB25" i="42"/>
  <c r="AC25" i="42" s="1"/>
  <c r="AA25" i="42"/>
  <c r="X25" i="42"/>
  <c r="Y25" i="42" s="1"/>
  <c r="W25" i="42"/>
  <c r="T25" i="42"/>
  <c r="U25" i="42" s="1"/>
  <c r="S25" i="42"/>
  <c r="P25" i="42"/>
  <c r="O25" i="42"/>
  <c r="D25" i="42"/>
  <c r="C25" i="42"/>
  <c r="B25" i="42"/>
  <c r="F25" i="42" s="1"/>
  <c r="BE24" i="42"/>
  <c r="BA24" i="42"/>
  <c r="AW24" i="42"/>
  <c r="AS24" i="42"/>
  <c r="AO24" i="42"/>
  <c r="AK24" i="42"/>
  <c r="AG24" i="42"/>
  <c r="Y24" i="42"/>
  <c r="E24" i="42"/>
  <c r="E23" i="42"/>
  <c r="BE22" i="42"/>
  <c r="BA22" i="42"/>
  <c r="AW22" i="42"/>
  <c r="AS22" i="42"/>
  <c r="AO22" i="42"/>
  <c r="AK22" i="42"/>
  <c r="AG22" i="42"/>
  <c r="AC22" i="42"/>
  <c r="Y22" i="42"/>
  <c r="U22" i="42"/>
  <c r="Q22" i="42"/>
  <c r="E22" i="42"/>
  <c r="BE21" i="42"/>
  <c r="BA21" i="42"/>
  <c r="AW21" i="42"/>
  <c r="AS21" i="42"/>
  <c r="AO21" i="42"/>
  <c r="AK21" i="42"/>
  <c r="AG21" i="42"/>
  <c r="AC21" i="42"/>
  <c r="Y21" i="42"/>
  <c r="U21" i="42"/>
  <c r="Q21" i="42"/>
  <c r="E21" i="42"/>
  <c r="BD20" i="42"/>
  <c r="BC20" i="42"/>
  <c r="AZ20" i="42"/>
  <c r="AV20" i="42"/>
  <c r="AU20" i="42"/>
  <c r="AR20" i="42"/>
  <c r="AQ20" i="42"/>
  <c r="AN20" i="42"/>
  <c r="AM20" i="42"/>
  <c r="AJ20" i="42"/>
  <c r="AI20" i="42"/>
  <c r="AF20" i="42"/>
  <c r="AE20" i="42"/>
  <c r="AB20" i="42"/>
  <c r="AA20" i="42"/>
  <c r="X20" i="42"/>
  <c r="W20" i="42"/>
  <c r="T20" i="42"/>
  <c r="S20" i="42"/>
  <c r="P20" i="42"/>
  <c r="O20" i="42"/>
  <c r="D20" i="42"/>
  <c r="C20" i="42"/>
  <c r="B20" i="42"/>
  <c r="F20" i="42" s="1"/>
  <c r="E19" i="42"/>
  <c r="E18" i="42"/>
  <c r="BE17" i="42"/>
  <c r="BA17" i="42"/>
  <c r="AW17" i="42"/>
  <c r="AS17" i="42"/>
  <c r="AO17" i="42"/>
  <c r="AK17" i="42"/>
  <c r="AG17" i="42"/>
  <c r="AC17" i="42"/>
  <c r="Y17" i="42"/>
  <c r="U17" i="42"/>
  <c r="Q17" i="42"/>
  <c r="E17" i="42"/>
  <c r="BE16" i="42"/>
  <c r="BA16" i="42"/>
  <c r="AW16" i="42"/>
  <c r="AS16" i="42"/>
  <c r="AO16" i="42"/>
  <c r="AK16" i="42"/>
  <c r="AG16" i="42"/>
  <c r="AC16" i="42"/>
  <c r="Y16" i="42"/>
  <c r="U16" i="42"/>
  <c r="Q16" i="42"/>
  <c r="M16" i="42"/>
  <c r="E16" i="42"/>
  <c r="BE15" i="42"/>
  <c r="BA15" i="42"/>
  <c r="AW15" i="42"/>
  <c r="AS15" i="42"/>
  <c r="AO15" i="42"/>
  <c r="AK15" i="42"/>
  <c r="AG15" i="42"/>
  <c r="AC15" i="42"/>
  <c r="Y15" i="42"/>
  <c r="U15" i="42"/>
  <c r="E15" i="42"/>
  <c r="BE14" i="42"/>
  <c r="BA14" i="42"/>
  <c r="AW14" i="42"/>
  <c r="AS14" i="42"/>
  <c r="AO14" i="42"/>
  <c r="AK14" i="42"/>
  <c r="AG14" i="42"/>
  <c r="AC14" i="42"/>
  <c r="Y14" i="42"/>
  <c r="U14" i="42"/>
  <c r="Q14" i="42"/>
  <c r="M14" i="42"/>
  <c r="E14" i="42"/>
  <c r="E13" i="42"/>
  <c r="BE12" i="42"/>
  <c r="BA12" i="42"/>
  <c r="AW12" i="42"/>
  <c r="AS12" i="42"/>
  <c r="AO12" i="42"/>
  <c r="AK12" i="42"/>
  <c r="AG12" i="42"/>
  <c r="AC12" i="42"/>
  <c r="Y12" i="42"/>
  <c r="U12" i="42"/>
  <c r="Q12" i="42"/>
  <c r="E12" i="42"/>
  <c r="AS11" i="42"/>
  <c r="AG11" i="42"/>
  <c r="AC11" i="42"/>
  <c r="U11" i="42"/>
  <c r="Q11" i="42"/>
  <c r="M11" i="42"/>
  <c r="E11" i="42"/>
  <c r="BB9" i="42"/>
  <c r="BB41" i="42" s="1"/>
  <c r="AY9" i="42"/>
  <c r="AY41" i="42" s="1"/>
  <c r="AX9" i="42"/>
  <c r="AX41" i="42" s="1"/>
  <c r="AT9" i="42"/>
  <c r="AT41" i="42" s="1"/>
  <c r="AT39" i="42" s="1"/>
  <c r="AT40" i="42" s="1"/>
  <c r="AR9" i="42"/>
  <c r="AR41" i="42" s="1"/>
  <c r="AQ9" i="42"/>
  <c r="AQ41" i="42" s="1"/>
  <c r="AP9" i="42"/>
  <c r="AP7" i="42" s="1"/>
  <c r="AM9" i="42"/>
  <c r="AM41" i="42" s="1"/>
  <c r="AL9" i="42"/>
  <c r="AL41" i="42" s="1"/>
  <c r="AH9" i="42"/>
  <c r="AH41" i="42" s="1"/>
  <c r="AD9" i="42"/>
  <c r="AD41" i="42" s="1"/>
  <c r="AD39" i="42" s="1"/>
  <c r="AD40" i="42" s="1"/>
  <c r="Z9" i="42"/>
  <c r="Z7" i="42" s="1"/>
  <c r="V9" i="42"/>
  <c r="V41" i="42" s="1"/>
  <c r="R9" i="42"/>
  <c r="R41" i="42" s="1"/>
  <c r="N9" i="42"/>
  <c r="E8" i="42"/>
  <c r="AK18" i="43" l="1"/>
  <c r="B14" i="43"/>
  <c r="B13" i="43" s="1"/>
  <c r="AT13" i="43"/>
  <c r="BE18" i="43"/>
  <c r="BA18" i="43"/>
  <c r="Y18" i="43"/>
  <c r="BA14" i="43"/>
  <c r="AC17" i="43"/>
  <c r="AP13" i="43"/>
  <c r="V13" i="43"/>
  <c r="V7" i="43" s="1"/>
  <c r="V6" i="43" s="1"/>
  <c r="AG18" i="43"/>
  <c r="AW18" i="43"/>
  <c r="J27" i="43"/>
  <c r="F27" i="43" s="1"/>
  <c r="Q40" i="43"/>
  <c r="AG40" i="43"/>
  <c r="AW40" i="43"/>
  <c r="Q17" i="43"/>
  <c r="J17" i="43"/>
  <c r="F17" i="43" s="1"/>
  <c r="U14" i="43"/>
  <c r="R13" i="43"/>
  <c r="R7" i="43" s="1"/>
  <c r="R6" i="43" s="1"/>
  <c r="AC18" i="43"/>
  <c r="AS18" i="43"/>
  <c r="AK40" i="43"/>
  <c r="BA40" i="43"/>
  <c r="AD13" i="43"/>
  <c r="AO18" i="43"/>
  <c r="J40" i="43"/>
  <c r="F40" i="43" s="1"/>
  <c r="Y40" i="43"/>
  <c r="AO40" i="43"/>
  <c r="BE40" i="43"/>
  <c r="K20" i="42"/>
  <c r="G20" i="42" s="1"/>
  <c r="B9" i="42"/>
  <c r="B41" i="42" s="1"/>
  <c r="L20" i="42"/>
  <c r="M20" i="42" s="1"/>
  <c r="T9" i="42"/>
  <c r="U18" i="43"/>
  <c r="J18" i="43"/>
  <c r="F18" i="43" s="1"/>
  <c r="U8" i="43"/>
  <c r="AT7" i="43"/>
  <c r="AT6" i="43" s="1"/>
  <c r="J8" i="43"/>
  <c r="F8" i="43" s="1"/>
  <c r="AX7" i="43"/>
  <c r="AX6" i="43" s="1"/>
  <c r="AD7" i="43"/>
  <c r="AD6" i="43" s="1"/>
  <c r="AF9" i="42"/>
  <c r="AF41" i="42" s="1"/>
  <c r="AG41" i="42" s="1"/>
  <c r="X13" i="43"/>
  <c r="X7" i="43" s="1"/>
  <c r="X6" i="43" s="1"/>
  <c r="W13" i="43"/>
  <c r="W7" i="43" s="1"/>
  <c r="W6" i="43" s="1"/>
  <c r="K18" i="43"/>
  <c r="G18" i="43" s="1"/>
  <c r="S13" i="43"/>
  <c r="S7" i="43" s="1"/>
  <c r="S6" i="43" s="1"/>
  <c r="K14" i="43"/>
  <c r="G14" i="43" s="1"/>
  <c r="AZ9" i="42"/>
  <c r="AZ41" i="42" s="1"/>
  <c r="AV9" i="42"/>
  <c r="AV41" i="42" s="1"/>
  <c r="O9" i="42"/>
  <c r="O41" i="42" s="1"/>
  <c r="K30" i="42"/>
  <c r="G30" i="42" s="1"/>
  <c r="C9" i="42"/>
  <c r="C41" i="42" s="1"/>
  <c r="L45" i="43"/>
  <c r="H45" i="43" s="1"/>
  <c r="I45" i="43" s="1"/>
  <c r="U40" i="43"/>
  <c r="L40" i="43"/>
  <c r="Q18" i="43"/>
  <c r="L18" i="43"/>
  <c r="P13" i="43"/>
  <c r="E45" i="43"/>
  <c r="K25" i="42"/>
  <c r="G25" i="42" s="1"/>
  <c r="BD9" i="42"/>
  <c r="BD41" i="42" s="1"/>
  <c r="BE41" i="42" s="1"/>
  <c r="Q30" i="42"/>
  <c r="P9" i="42"/>
  <c r="Q9" i="42" s="1"/>
  <c r="Q25" i="42"/>
  <c r="L25" i="42"/>
  <c r="H25" i="42" s="1"/>
  <c r="N41" i="42"/>
  <c r="J9" i="42"/>
  <c r="F9" i="42" s="1"/>
  <c r="E20" i="42"/>
  <c r="H20" i="42"/>
  <c r="I20" i="42" s="1"/>
  <c r="D7" i="42"/>
  <c r="E41" i="42"/>
  <c r="D10" i="42"/>
  <c r="E30" i="42"/>
  <c r="BC13" i="43"/>
  <c r="BC7" i="43" s="1"/>
  <c r="BC6" i="43" s="1"/>
  <c r="AY13" i="43"/>
  <c r="AY7" i="43" s="1"/>
  <c r="AY6" i="43" s="1"/>
  <c r="AV13" i="43"/>
  <c r="AV7" i="43" s="1"/>
  <c r="AU13" i="43"/>
  <c r="AU7" i="43" s="1"/>
  <c r="AU6" i="43" s="1"/>
  <c r="AQ13" i="43"/>
  <c r="AQ7" i="43" s="1"/>
  <c r="AQ6" i="43" s="1"/>
  <c r="AM13" i="43"/>
  <c r="AM7" i="43" s="1"/>
  <c r="AM6" i="43" s="1"/>
  <c r="AI13" i="43"/>
  <c r="AI7" i="43" s="1"/>
  <c r="AI6" i="43" s="1"/>
  <c r="AE13" i="43"/>
  <c r="AE7" i="43" s="1"/>
  <c r="AE6" i="43" s="1"/>
  <c r="AB13" i="43"/>
  <c r="AB7" i="43" s="1"/>
  <c r="AB6" i="43" s="1"/>
  <c r="T13" i="43"/>
  <c r="T7" i="43" s="1"/>
  <c r="T6" i="43" s="1"/>
  <c r="O13" i="43"/>
  <c r="B7" i="43"/>
  <c r="B6" i="43" s="1"/>
  <c r="E8" i="43"/>
  <c r="AH7" i="43"/>
  <c r="AH6" i="43" s="1"/>
  <c r="M43" i="43"/>
  <c r="I10" i="43"/>
  <c r="BB14" i="43"/>
  <c r="BB13" i="43" s="1"/>
  <c r="BB7" i="43" s="1"/>
  <c r="BB6" i="43" s="1"/>
  <c r="M20" i="43"/>
  <c r="AG27" i="43"/>
  <c r="AC40" i="43"/>
  <c r="AS40" i="43"/>
  <c r="AP7" i="43"/>
  <c r="AP6" i="43" s="1"/>
  <c r="AN13" i="43"/>
  <c r="N14" i="43"/>
  <c r="AL14" i="43"/>
  <c r="AL13" i="43" s="1"/>
  <c r="AL7" i="43" s="1"/>
  <c r="AL6" i="43" s="1"/>
  <c r="AA13" i="43"/>
  <c r="C13" i="43"/>
  <c r="M28" i="43"/>
  <c r="I31" i="43"/>
  <c r="I33" i="43"/>
  <c r="M12" i="43"/>
  <c r="M25" i="43"/>
  <c r="M32" i="43"/>
  <c r="M35" i="43"/>
  <c r="I9" i="43"/>
  <c r="I11" i="43"/>
  <c r="I37" i="43"/>
  <c r="I21" i="43"/>
  <c r="I12" i="43"/>
  <c r="M26" i="43"/>
  <c r="M30" i="43"/>
  <c r="M23" i="43"/>
  <c r="M31" i="43"/>
  <c r="I41" i="43"/>
  <c r="I24" i="43"/>
  <c r="I26" i="43"/>
  <c r="I38" i="43"/>
  <c r="I43" i="43"/>
  <c r="I20" i="43"/>
  <c r="M22" i="43"/>
  <c r="I23" i="43"/>
  <c r="M29" i="43"/>
  <c r="M33" i="43"/>
  <c r="M44" i="43"/>
  <c r="M19" i="43"/>
  <c r="M24" i="43"/>
  <c r="I25" i="43"/>
  <c r="I44" i="43"/>
  <c r="D40" i="43"/>
  <c r="I8" i="42"/>
  <c r="M18" i="42"/>
  <c r="M19" i="42"/>
  <c r="M21" i="42"/>
  <c r="M26" i="42"/>
  <c r="M31" i="42"/>
  <c r="I36" i="42"/>
  <c r="BC7" i="42"/>
  <c r="AY7" i="42"/>
  <c r="I19" i="42"/>
  <c r="I18" i="42"/>
  <c r="AU7" i="42"/>
  <c r="AQ10" i="42"/>
  <c r="AN9" i="42"/>
  <c r="AN41" i="42" s="1"/>
  <c r="AN39" i="42" s="1"/>
  <c r="M32" i="42"/>
  <c r="M24" i="42"/>
  <c r="I23" i="42"/>
  <c r="AM7" i="42"/>
  <c r="AE7" i="42"/>
  <c r="AC30" i="42"/>
  <c r="AB7" i="42"/>
  <c r="AC7" i="42" s="1"/>
  <c r="Y30" i="42"/>
  <c r="I14" i="42"/>
  <c r="W7" i="42"/>
  <c r="I31" i="42"/>
  <c r="I32" i="42"/>
  <c r="I21" i="42"/>
  <c r="I12" i="42"/>
  <c r="M12" i="42"/>
  <c r="I11" i="42"/>
  <c r="AU10" i="42"/>
  <c r="X7" i="42"/>
  <c r="AQ7" i="42"/>
  <c r="S7" i="42"/>
  <c r="AA7" i="42"/>
  <c r="AI7" i="42"/>
  <c r="AR7" i="42"/>
  <c r="AS7" i="42" s="1"/>
  <c r="I13" i="42"/>
  <c r="I16" i="43"/>
  <c r="D14" i="43"/>
  <c r="E17" i="43"/>
  <c r="AZ13" i="43"/>
  <c r="BA27" i="43"/>
  <c r="Z13" i="43"/>
  <c r="Z7" i="43" s="1"/>
  <c r="Z6" i="43" s="1"/>
  <c r="E15" i="43"/>
  <c r="AF14" i="43"/>
  <c r="AG17" i="43"/>
  <c r="D18" i="43"/>
  <c r="E24" i="43"/>
  <c r="Y27" i="43"/>
  <c r="AK8" i="43"/>
  <c r="AW14" i="43"/>
  <c r="U17" i="43"/>
  <c r="Y14" i="43"/>
  <c r="AJ14" i="43"/>
  <c r="AK15" i="43"/>
  <c r="M15" i="43"/>
  <c r="M16" i="43"/>
  <c r="AR14" i="43"/>
  <c r="AS17" i="43"/>
  <c r="BD13" i="43"/>
  <c r="BE27" i="43"/>
  <c r="E35" i="43"/>
  <c r="I19" i="43"/>
  <c r="BE34" i="43"/>
  <c r="I22" i="43"/>
  <c r="I32" i="43"/>
  <c r="AC14" i="43"/>
  <c r="AU38" i="42"/>
  <c r="AU37" i="42" s="1"/>
  <c r="AU39" i="42"/>
  <c r="AU40" i="42" s="1"/>
  <c r="AE38" i="42"/>
  <c r="AE37" i="42" s="1"/>
  <c r="AE39" i="42"/>
  <c r="AE40" i="42" s="1"/>
  <c r="B39" i="42"/>
  <c r="B38" i="42"/>
  <c r="V39" i="42"/>
  <c r="V40" i="42" s="1"/>
  <c r="V38" i="42"/>
  <c r="V37" i="42" s="1"/>
  <c r="AH39" i="42"/>
  <c r="AH40" i="42" s="1"/>
  <c r="AH38" i="42"/>
  <c r="AH37" i="42" s="1"/>
  <c r="BB10" i="42"/>
  <c r="AP41" i="42"/>
  <c r="AS41" i="42" s="1"/>
  <c r="S38" i="42"/>
  <c r="S37" i="42" s="1"/>
  <c r="S39" i="42"/>
  <c r="S40" i="42" s="1"/>
  <c r="W38" i="42"/>
  <c r="W37" i="42" s="1"/>
  <c r="W39" i="42"/>
  <c r="W40" i="42" s="1"/>
  <c r="AI38" i="42"/>
  <c r="AI37" i="42" s="1"/>
  <c r="AI39" i="42"/>
  <c r="AI40" i="42" s="1"/>
  <c r="AM38" i="42"/>
  <c r="AM37" i="42" s="1"/>
  <c r="AM39" i="42"/>
  <c r="AM40" i="42" s="1"/>
  <c r="AY10" i="42"/>
  <c r="BC10" i="42"/>
  <c r="B10" i="42"/>
  <c r="N10" i="42"/>
  <c r="R10" i="42"/>
  <c r="V10" i="42"/>
  <c r="Z10" i="42"/>
  <c r="AD10" i="42"/>
  <c r="AH10" i="42"/>
  <c r="AL10" i="42"/>
  <c r="AP10" i="42"/>
  <c r="AT10" i="42"/>
  <c r="AX10" i="42"/>
  <c r="Q15" i="42"/>
  <c r="M22" i="42"/>
  <c r="M29" i="42"/>
  <c r="I35" i="42"/>
  <c r="AD38" i="42"/>
  <c r="AD37" i="42" s="1"/>
  <c r="Z41" i="42"/>
  <c r="AC41" i="42" s="1"/>
  <c r="BB39" i="42"/>
  <c r="BB40" i="42" s="1"/>
  <c r="BB38" i="42"/>
  <c r="BB37" i="42" s="1"/>
  <c r="AT38" i="42"/>
  <c r="AT37" i="42" s="1"/>
  <c r="AB38" i="42"/>
  <c r="AB39" i="42"/>
  <c r="S10" i="42"/>
  <c r="W10" i="42"/>
  <c r="AA10" i="42"/>
  <c r="AE10" i="42"/>
  <c r="AI10" i="42"/>
  <c r="AM10" i="42"/>
  <c r="M17" i="42"/>
  <c r="I22" i="42"/>
  <c r="E25" i="42"/>
  <c r="AJ30" i="42"/>
  <c r="L30" i="42" s="1"/>
  <c r="H30" i="42" s="1"/>
  <c r="AK32" i="42"/>
  <c r="N38" i="42"/>
  <c r="M47" i="42"/>
  <c r="I47" i="42"/>
  <c r="R39" i="42"/>
  <c r="R40" i="42" s="1"/>
  <c r="R38" i="42"/>
  <c r="R37" i="42" s="1"/>
  <c r="AL39" i="42"/>
  <c r="AL40" i="42" s="1"/>
  <c r="AL38" i="42"/>
  <c r="AL37" i="42" s="1"/>
  <c r="AX39" i="42"/>
  <c r="AX40" i="42" s="1"/>
  <c r="AX38" i="42"/>
  <c r="AX37" i="42" s="1"/>
  <c r="M27" i="42"/>
  <c r="AG45" i="42"/>
  <c r="AW44" i="42"/>
  <c r="Y41" i="42"/>
  <c r="X38" i="42"/>
  <c r="X39" i="42"/>
  <c r="AR38" i="42"/>
  <c r="AR39" i="42"/>
  <c r="B7" i="42"/>
  <c r="N7" i="42"/>
  <c r="R7" i="42"/>
  <c r="V7" i="42"/>
  <c r="AD7" i="42"/>
  <c r="AH7" i="42"/>
  <c r="AL7" i="42"/>
  <c r="AT7" i="42"/>
  <c r="AX7" i="42"/>
  <c r="BB7" i="42"/>
  <c r="E9" i="42"/>
  <c r="Y9" i="42"/>
  <c r="AC9" i="42"/>
  <c r="AS9" i="42"/>
  <c r="X10" i="42"/>
  <c r="AB10" i="42"/>
  <c r="AR10" i="42"/>
  <c r="I17" i="42"/>
  <c r="AQ39" i="42"/>
  <c r="AQ40" i="42" s="1"/>
  <c r="U44" i="42"/>
  <c r="AK44" i="42"/>
  <c r="AO45" i="42"/>
  <c r="BE44" i="42"/>
  <c r="M18" i="43" l="1"/>
  <c r="BE14" i="43"/>
  <c r="U6" i="43"/>
  <c r="N13" i="43"/>
  <c r="N7" i="43" s="1"/>
  <c r="N6" i="43" s="1"/>
  <c r="J6" i="43" s="1"/>
  <c r="F6" i="43" s="1"/>
  <c r="J14" i="43"/>
  <c r="F14" i="43" s="1"/>
  <c r="Y10" i="42"/>
  <c r="T10" i="42"/>
  <c r="T41" i="42"/>
  <c r="AF39" i="42"/>
  <c r="AG39" i="42" s="1"/>
  <c r="AF7" i="42"/>
  <c r="AG7" i="42" s="1"/>
  <c r="AF10" i="42"/>
  <c r="AG9" i="42"/>
  <c r="U9" i="42"/>
  <c r="T7" i="42"/>
  <c r="U7" i="42" s="1"/>
  <c r="U10" i="42"/>
  <c r="O10" i="42"/>
  <c r="K10" i="42" s="1"/>
  <c r="O7" i="42"/>
  <c r="K7" i="42" s="1"/>
  <c r="O38" i="42"/>
  <c r="O37" i="42" s="1"/>
  <c r="C7" i="42"/>
  <c r="C10" i="42"/>
  <c r="AW41" i="42"/>
  <c r="M8" i="43"/>
  <c r="AW7" i="43"/>
  <c r="BD10" i="42"/>
  <c r="BE10" i="42" s="1"/>
  <c r="BD7" i="42"/>
  <c r="BE7" i="42" s="1"/>
  <c r="BE9" i="42"/>
  <c r="AZ10" i="42"/>
  <c r="BA10" i="42" s="1"/>
  <c r="AZ7" i="42"/>
  <c r="BA7" i="42" s="1"/>
  <c r="BA9" i="42"/>
  <c r="AV10" i="42"/>
  <c r="AW10" i="42" s="1"/>
  <c r="AV7" i="42"/>
  <c r="AW7" i="42" s="1"/>
  <c r="AW9" i="42"/>
  <c r="Y13" i="43"/>
  <c r="O7" i="43"/>
  <c r="O6" i="43" s="1"/>
  <c r="K13" i="43"/>
  <c r="G13" i="43" s="1"/>
  <c r="C7" i="43"/>
  <c r="K9" i="42"/>
  <c r="G9" i="42" s="1"/>
  <c r="P7" i="42"/>
  <c r="Q7" i="42" s="1"/>
  <c r="P41" i="42"/>
  <c r="L14" i="43"/>
  <c r="H14" i="43" s="1"/>
  <c r="H18" i="43"/>
  <c r="I18" i="43" s="1"/>
  <c r="P7" i="43"/>
  <c r="P6" i="43" s="1"/>
  <c r="E40" i="43"/>
  <c r="H40" i="43"/>
  <c r="I40" i="43" s="1"/>
  <c r="BD39" i="42"/>
  <c r="BD40" i="42" s="1"/>
  <c r="BE40" i="42" s="1"/>
  <c r="BD38" i="42"/>
  <c r="BD37" i="42" s="1"/>
  <c r="BE37" i="42" s="1"/>
  <c r="AO9" i="42"/>
  <c r="AO41" i="42"/>
  <c r="AN7" i="42"/>
  <c r="AO7" i="42" s="1"/>
  <c r="AN10" i="42"/>
  <c r="AO10" i="42" s="1"/>
  <c r="P10" i="42"/>
  <c r="Q10" i="42" s="1"/>
  <c r="M25" i="42"/>
  <c r="J10" i="42"/>
  <c r="F10" i="42" s="1"/>
  <c r="J7" i="42"/>
  <c r="F7" i="42" s="1"/>
  <c r="K41" i="42"/>
  <c r="G41" i="42" s="1"/>
  <c r="O39" i="42"/>
  <c r="O40" i="42" s="1"/>
  <c r="N39" i="42"/>
  <c r="J41" i="42"/>
  <c r="F41" i="42" s="1"/>
  <c r="D39" i="42"/>
  <c r="E39" i="42" s="1"/>
  <c r="D38" i="42"/>
  <c r="E38" i="42" s="1"/>
  <c r="M40" i="43"/>
  <c r="AW13" i="43"/>
  <c r="AV6" i="43"/>
  <c r="AW6" i="43" s="1"/>
  <c r="AC6" i="43"/>
  <c r="U7" i="43"/>
  <c r="U13" i="43"/>
  <c r="I35" i="43"/>
  <c r="M34" i="43"/>
  <c r="AO14" i="43"/>
  <c r="AO13" i="43"/>
  <c r="AN7" i="43"/>
  <c r="AC7" i="43"/>
  <c r="AC13" i="43"/>
  <c r="AA7" i="43"/>
  <c r="Q14" i="43"/>
  <c r="M27" i="43"/>
  <c r="AG10" i="42"/>
  <c r="AQ38" i="42"/>
  <c r="AQ37" i="42" s="1"/>
  <c r="Y7" i="42"/>
  <c r="BE13" i="43"/>
  <c r="BD7" i="43"/>
  <c r="AS14" i="43"/>
  <c r="AR13" i="43"/>
  <c r="AK14" i="43"/>
  <c r="AJ13" i="43"/>
  <c r="E18" i="43"/>
  <c r="AK17" i="43"/>
  <c r="Y6" i="43"/>
  <c r="I15" i="43"/>
  <c r="I8" i="43"/>
  <c r="BA13" i="43"/>
  <c r="AZ7" i="43"/>
  <c r="Y7" i="43"/>
  <c r="I27" i="43"/>
  <c r="AG14" i="43"/>
  <c r="AF13" i="43"/>
  <c r="E14" i="43"/>
  <c r="D13" i="43"/>
  <c r="AO39" i="42"/>
  <c r="AN40" i="42"/>
  <c r="AO40" i="42" s="1"/>
  <c r="BA41" i="42"/>
  <c r="AZ39" i="42"/>
  <c r="AZ38" i="42"/>
  <c r="AC10" i="42"/>
  <c r="AR37" i="42"/>
  <c r="Y39" i="42"/>
  <c r="X40" i="42"/>
  <c r="Y40" i="42" s="1"/>
  <c r="M45" i="42"/>
  <c r="I45" i="42"/>
  <c r="AB40" i="42"/>
  <c r="Z39" i="42"/>
  <c r="Z38" i="42"/>
  <c r="Z37" i="42" s="1"/>
  <c r="BC38" i="42"/>
  <c r="BC37" i="42" s="1"/>
  <c r="BC39" i="42"/>
  <c r="BC40" i="42" s="1"/>
  <c r="AR40" i="42"/>
  <c r="AJ9" i="42"/>
  <c r="AJ41" i="42" s="1"/>
  <c r="AK30" i="42"/>
  <c r="AY38" i="42"/>
  <c r="AY37" i="42" s="1"/>
  <c r="AY39" i="42"/>
  <c r="AY40" i="42" s="1"/>
  <c r="AS10" i="42"/>
  <c r="X37" i="42"/>
  <c r="Y37" i="42" s="1"/>
  <c r="Y38" i="42"/>
  <c r="N37" i="42"/>
  <c r="AB37" i="42"/>
  <c r="C38" i="42"/>
  <c r="C39" i="42"/>
  <c r="AP39" i="42"/>
  <c r="AP40" i="42" s="1"/>
  <c r="AP38" i="42"/>
  <c r="AP37" i="42" s="1"/>
  <c r="B37" i="42"/>
  <c r="I44" i="42"/>
  <c r="M44" i="42"/>
  <c r="M15" i="42"/>
  <c r="E10" i="42"/>
  <c r="AO44" i="42"/>
  <c r="AG44" i="42"/>
  <c r="E7" i="42"/>
  <c r="AF38" i="42"/>
  <c r="AN38" i="42"/>
  <c r="B40" i="42"/>
  <c r="Q13" i="43" l="1"/>
  <c r="J13" i="43"/>
  <c r="F13" i="43" s="1"/>
  <c r="Q6" i="43"/>
  <c r="J7" i="43"/>
  <c r="F7" i="43" s="1"/>
  <c r="AF40" i="42"/>
  <c r="AG40" i="42" s="1"/>
  <c r="G7" i="42"/>
  <c r="T39" i="42"/>
  <c r="U39" i="42" s="1"/>
  <c r="T38" i="42"/>
  <c r="T37" i="42" s="1"/>
  <c r="U37" i="42" s="1"/>
  <c r="G10" i="42"/>
  <c r="U41" i="42"/>
  <c r="P38" i="42"/>
  <c r="Q38" i="42" s="1"/>
  <c r="AV39" i="42"/>
  <c r="AV38" i="42"/>
  <c r="AW38" i="42" s="1"/>
  <c r="J37" i="42"/>
  <c r="F37" i="42" s="1"/>
  <c r="BE39" i="42"/>
  <c r="L9" i="42"/>
  <c r="H9" i="42" s="1"/>
  <c r="L41" i="42"/>
  <c r="H41" i="42" s="1"/>
  <c r="K7" i="43"/>
  <c r="G7" i="43" s="1"/>
  <c r="C6" i="43"/>
  <c r="P39" i="42"/>
  <c r="Q39" i="42" s="1"/>
  <c r="Q41" i="42"/>
  <c r="BE38" i="42"/>
  <c r="M14" i="43"/>
  <c r="L13" i="43"/>
  <c r="H13" i="43" s="1"/>
  <c r="Q7" i="43"/>
  <c r="J39" i="42"/>
  <c r="F39" i="42" s="1"/>
  <c r="N40" i="42"/>
  <c r="J38" i="42"/>
  <c r="F38" i="42" s="1"/>
  <c r="D40" i="42"/>
  <c r="E40" i="42" s="1"/>
  <c r="D37" i="42"/>
  <c r="C37" i="42"/>
  <c r="AA6" i="43"/>
  <c r="K6" i="43" s="1"/>
  <c r="AO7" i="43"/>
  <c r="AN6" i="43"/>
  <c r="AO6" i="43" s="1"/>
  <c r="I14" i="43"/>
  <c r="AG13" i="43"/>
  <c r="AF7" i="43"/>
  <c r="BA7" i="43"/>
  <c r="AZ6" i="43"/>
  <c r="BA6" i="43" s="1"/>
  <c r="BE7" i="43"/>
  <c r="BD6" i="43"/>
  <c r="BE6" i="43" s="1"/>
  <c r="E13" i="43"/>
  <c r="D7" i="43"/>
  <c r="AK13" i="43"/>
  <c r="AJ7" i="43"/>
  <c r="M17" i="43"/>
  <c r="I17" i="43"/>
  <c r="AS13" i="43"/>
  <c r="AR7" i="43"/>
  <c r="AF37" i="42"/>
  <c r="AG37" i="42" s="1"/>
  <c r="AG38" i="42"/>
  <c r="AS40" i="42"/>
  <c r="Z40" i="42"/>
  <c r="AC38" i="42"/>
  <c r="AJ10" i="42"/>
  <c r="L10" i="42" s="1"/>
  <c r="H10" i="42" s="1"/>
  <c r="AK9" i="42"/>
  <c r="AJ7" i="42"/>
  <c r="L7" i="42" s="1"/>
  <c r="H7" i="42" s="1"/>
  <c r="AS38" i="42"/>
  <c r="AZ37" i="42"/>
  <c r="BA37" i="42" s="1"/>
  <c r="BA38" i="42"/>
  <c r="C40" i="42"/>
  <c r="AS39" i="42"/>
  <c r="AN37" i="42"/>
  <c r="AO37" i="42" s="1"/>
  <c r="AO38" i="42"/>
  <c r="AC37" i="42"/>
  <c r="M30" i="42"/>
  <c r="I30" i="42"/>
  <c r="AC39" i="42"/>
  <c r="AS37" i="42"/>
  <c r="AZ40" i="42"/>
  <c r="BA40" i="42" s="1"/>
  <c r="BA39" i="42"/>
  <c r="T40" i="42" l="1"/>
  <c r="U40" i="42" s="1"/>
  <c r="U38" i="42"/>
  <c r="P37" i="42"/>
  <c r="Q37" i="42" s="1"/>
  <c r="AV37" i="42"/>
  <c r="AW37" i="42" s="1"/>
  <c r="AW39" i="42"/>
  <c r="AV40" i="42"/>
  <c r="AW40" i="42" s="1"/>
  <c r="G6" i="43"/>
  <c r="P40" i="42"/>
  <c r="Q40" i="42" s="1"/>
  <c r="M13" i="43"/>
  <c r="L7" i="43"/>
  <c r="H7" i="43" s="1"/>
  <c r="J40" i="42"/>
  <c r="F40" i="42" s="1"/>
  <c r="E37" i="42"/>
  <c r="AS7" i="43"/>
  <c r="AR6" i="43"/>
  <c r="AS6" i="43" s="1"/>
  <c r="AG7" i="43"/>
  <c r="AF6" i="43"/>
  <c r="E7" i="43"/>
  <c r="D6" i="43"/>
  <c r="AK7" i="43"/>
  <c r="AJ6" i="43"/>
  <c r="AK6" i="43" s="1"/>
  <c r="I13" i="43"/>
  <c r="AK7" i="42"/>
  <c r="AC40" i="42"/>
  <c r="AK10" i="42"/>
  <c r="M9" i="42"/>
  <c r="I9" i="42"/>
  <c r="AK41" i="42"/>
  <c r="AJ39" i="42"/>
  <c r="L39" i="42" s="1"/>
  <c r="H39" i="42" s="1"/>
  <c r="AJ38" i="42"/>
  <c r="L38" i="42" s="1"/>
  <c r="H38" i="42" s="1"/>
  <c r="M7" i="43" l="1"/>
  <c r="L6" i="43"/>
  <c r="H6" i="43" s="1"/>
  <c r="I7" i="43"/>
  <c r="AG6" i="43"/>
  <c r="E6" i="43"/>
  <c r="AJ37" i="42"/>
  <c r="L37" i="42" s="1"/>
  <c r="H37" i="42" s="1"/>
  <c r="AK38" i="42"/>
  <c r="M7" i="42"/>
  <c r="I7" i="42"/>
  <c r="M41" i="42"/>
  <c r="I41" i="42"/>
  <c r="AJ40" i="42"/>
  <c r="L40" i="42" s="1"/>
  <c r="H40" i="42" s="1"/>
  <c r="AK39" i="42"/>
  <c r="M10" i="42"/>
  <c r="I10" i="42"/>
  <c r="M6" i="43" l="1"/>
  <c r="I6" i="43"/>
  <c r="AK40" i="42"/>
  <c r="M38" i="42"/>
  <c r="I38" i="42"/>
  <c r="M39" i="42"/>
  <c r="I39" i="42"/>
  <c r="AK37" i="42"/>
  <c r="M37" i="42" l="1"/>
  <c r="I37" i="42"/>
  <c r="M40" i="42"/>
  <c r="I40" i="42"/>
  <c r="E28" i="39" l="1"/>
  <c r="F27" i="39"/>
  <c r="E17" i="39"/>
  <c r="F16" i="39"/>
  <c r="C28" i="39"/>
  <c r="C17" i="39"/>
  <c r="F28" i="39" l="1"/>
  <c r="F17" i="39"/>
  <c r="E31" i="39" l="1"/>
  <c r="C31" i="39" l="1"/>
  <c r="B31" i="39"/>
  <c r="C23" i="39"/>
  <c r="B23" i="39"/>
  <c r="C10" i="39"/>
  <c r="B10" i="39"/>
  <c r="B39" i="39" l="1"/>
  <c r="C8" i="39"/>
  <c r="C11" i="39"/>
  <c r="B8" i="39"/>
  <c r="B11" i="39"/>
  <c r="C39" i="39" l="1"/>
  <c r="C38" i="39" s="1"/>
  <c r="F43" i="39"/>
  <c r="B40" i="39"/>
  <c r="B38" i="39"/>
  <c r="C40" i="39" l="1"/>
  <c r="F9" i="39" l="1"/>
  <c r="F12" i="39"/>
  <c r="F13" i="39"/>
  <c r="F14" i="39"/>
  <c r="F15" i="39"/>
  <c r="F18" i="39"/>
  <c r="F19" i="39"/>
  <c r="F20" i="39"/>
  <c r="F21" i="39"/>
  <c r="F22" i="39"/>
  <c r="F24" i="39"/>
  <c r="F25" i="39"/>
  <c r="F26" i="39"/>
  <c r="F29" i="39"/>
  <c r="F30" i="39"/>
  <c r="F32" i="39"/>
  <c r="F33" i="39"/>
  <c r="F35" i="39"/>
  <c r="F36" i="39"/>
  <c r="F37" i="39"/>
  <c r="F42" i="39"/>
  <c r="F44" i="39"/>
  <c r="E23" i="39"/>
  <c r="E10" i="39" l="1"/>
  <c r="E39" i="39" l="1"/>
  <c r="E8" i="39"/>
  <c r="E11" i="39"/>
  <c r="E38" i="39" l="1"/>
  <c r="E40" i="39"/>
  <c r="F45" i="39" l="1"/>
  <c r="F31" i="39" l="1"/>
  <c r="F23" i="39"/>
  <c r="F10" i="39" l="1"/>
  <c r="F41" i="39" l="1"/>
  <c r="F11" i="39"/>
  <c r="F39" i="39" l="1"/>
  <c r="F40" i="39" l="1"/>
  <c r="F38" i="39"/>
  <c r="F8" i="39" l="1"/>
  <c r="AA39" i="42"/>
  <c r="K39" i="42" s="1"/>
  <c r="G39" i="42" s="1"/>
  <c r="AA40" i="42" l="1"/>
  <c r="K40" i="42" s="1"/>
  <c r="G40" i="42" s="1"/>
  <c r="AA38" i="42"/>
  <c r="K38" i="42" s="1"/>
  <c r="G38" i="42" s="1"/>
  <c r="AA37" i="42" l="1"/>
  <c r="K37" i="42" s="1"/>
  <c r="G37" i="42" s="1"/>
</calcChain>
</file>

<file path=xl/comments1.xml><?xml version="1.0" encoding="utf-8"?>
<comments xmlns="http://schemas.openxmlformats.org/spreadsheetml/2006/main">
  <authors>
    <author>Author</author>
  </authors>
  <commentList>
    <comment ref="C39" authorId="0" shapeId="0">
      <text>
        <r>
          <rPr>
            <b/>
            <sz val="9"/>
            <color indexed="81"/>
            <rFont val="Tahoma"/>
            <family val="2"/>
          </rPr>
          <t xml:space="preserve">Trừ 10% tiết kiệm chi TX 194,748trđ; 50% tăng thu dự toán 2024: 192,15trđ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<sst xmlns="http://schemas.openxmlformats.org/spreadsheetml/2006/main" count="329" uniqueCount="127">
  <si>
    <t>ĐVT: triệu đồng</t>
  </si>
  <si>
    <t>NỘI DUNG</t>
  </si>
  <si>
    <t>TW</t>
  </si>
  <si>
    <t>ĐP</t>
  </si>
  <si>
    <t xml:space="preserve">  5. Lệ phí trước bạ</t>
  </si>
  <si>
    <t xml:space="preserve">  6.Thuế SD đất phi nông nghiệp</t>
  </si>
  <si>
    <t xml:space="preserve">  7.Thuế thu nhập cá nhân</t>
  </si>
  <si>
    <t xml:space="preserve">     - NSTW hưởng 100%</t>
  </si>
  <si>
    <t xml:space="preserve">     - Phân chia NSTW và NSĐP</t>
  </si>
  <si>
    <t xml:space="preserve">  9.Thu phí và lệ phí</t>
  </si>
  <si>
    <t xml:space="preserve">     Trong đó: Phí và lệ phí trung ương</t>
  </si>
  <si>
    <t>10.Thu tiền sử dụng đất</t>
  </si>
  <si>
    <t>11.Thu tiền cho thuê mặt đất mặt nước</t>
  </si>
  <si>
    <t xml:space="preserve">      + TW hưởng</t>
  </si>
  <si>
    <t xml:space="preserve">      + ĐP hưởng</t>
  </si>
  <si>
    <t xml:space="preserve"> I/- CHI ĐẦU TƯ PHÁT TRIỂN</t>
  </si>
  <si>
    <t>II/- CHI THƯỜNG XUYÊN</t>
  </si>
  <si>
    <t xml:space="preserve">     - Chi SN nông, lâm, thủy lợi</t>
  </si>
  <si>
    <t xml:space="preserve">     - Chi SN giao thông</t>
  </si>
  <si>
    <t xml:space="preserve">   a- Chi SN giáo dục và đào tạo </t>
  </si>
  <si>
    <t xml:space="preserve">   b- Chi SN y tế </t>
  </si>
  <si>
    <t xml:space="preserve">   f- Chi SN thể dục - thể thao</t>
  </si>
  <si>
    <t xml:space="preserve">   g- Chi đảm bảo xã hội </t>
  </si>
  <si>
    <t xml:space="preserve">   h- Chi sự nghiệp văn xã khác </t>
  </si>
  <si>
    <t>I.THU TỪ HOẠT ĐỘNG XUẤT NHẬP KHẨU</t>
  </si>
  <si>
    <t>II. THU NỘI ĐỊA</t>
  </si>
  <si>
    <t xml:space="preserve">  Không kể tiền sử dụng đất, xổ số kiến thiết</t>
  </si>
  <si>
    <t xml:space="preserve">  1) Chi sự nghiệp kinh tế </t>
  </si>
  <si>
    <t xml:space="preserve">   2) Chi sự nghiệp văn xã</t>
  </si>
  <si>
    <t xml:space="preserve">   3) Chi quản lý hành chính</t>
  </si>
  <si>
    <t xml:space="preserve">   4) Chi an ninh, quốc phòng địa phương </t>
  </si>
  <si>
    <t xml:space="preserve">   5) Chi sự nghiệp hoạt động môi trường </t>
  </si>
  <si>
    <t>V/- DỰ PHÒNG</t>
  </si>
  <si>
    <t>DTĐP
 NĂM</t>
  </si>
  <si>
    <t>CÙNG
KỲ</t>
  </si>
  <si>
    <t>CÙNG 
KỲ</t>
  </si>
  <si>
    <t xml:space="preserve">     - Chi SN kinh tế khác </t>
  </si>
  <si>
    <t>THU NGÂN SÁCH ĐỊA PHƯƠNG</t>
  </si>
  <si>
    <t>A. CHI CÂN ĐỐI NGÂN SÁCH ĐỊA PHƯƠNG</t>
  </si>
  <si>
    <t xml:space="preserve">   a) Vốn đầu tư tập trung được phân bổ</t>
  </si>
  <si>
    <t xml:space="preserve">   b) Nguồn thu tiền sử dụng đất</t>
  </si>
  <si>
    <t xml:space="preserve">   c) Nguồn Xổ số kiến thiết</t>
  </si>
  <si>
    <t xml:space="preserve">   d) Nguồn bội chi (vốn vay)</t>
  </si>
  <si>
    <t xml:space="preserve">   c- Chi SN khoa học và công nghệ</t>
  </si>
  <si>
    <t xml:space="preserve">   d- Chi SN văn hóa</t>
  </si>
  <si>
    <t xml:space="preserve">   e- Chi SN phát thanh - truyền hình - TTTT</t>
  </si>
  <si>
    <t xml:space="preserve">     - Chi quản lý Nhà nước</t>
  </si>
  <si>
    <t xml:space="preserve">     - Chi khối  Đảng</t>
  </si>
  <si>
    <t xml:space="preserve">     - Chi hổ trợ hội, đoàn thể</t>
  </si>
  <si>
    <t xml:space="preserve">     - Chi QLHC khác</t>
  </si>
  <si>
    <t xml:space="preserve">   6) Chi khác ngân sách</t>
  </si>
  <si>
    <t>B. CHI NSĐP TỪ NGUỒN BSMT</t>
  </si>
  <si>
    <t>I/ Chi đầu tư phát triển</t>
  </si>
  <si>
    <t xml:space="preserve"> - Vốn ngoài nước</t>
  </si>
  <si>
    <t xml:space="preserve"> - Vốn trong nước</t>
  </si>
  <si>
    <t>II/ Chi thường xuyên</t>
  </si>
  <si>
    <t>TỔNG CHI NSĐP (A+B)</t>
  </si>
  <si>
    <t>IV/- CHI BỔ SUNG QUỸ DỰ TRỮ TÀI CHÍNH</t>
  </si>
  <si>
    <t>Số thu cân đối NSĐP không bao gồm đất, XSKT, bội chi</t>
  </si>
  <si>
    <t>I. Thu cân đối ngân sách địa phương (gồm TL, thu vay)</t>
  </si>
  <si>
    <t xml:space="preserve">    1. Thu NSĐP được hưởng theo phân cấp</t>
  </si>
  <si>
    <t xml:space="preserve">    4. Thu vay (Bội chi NSĐP)</t>
  </si>
  <si>
    <t>II. Thu bổ sung có mục tiêu từ ngân sách TW</t>
  </si>
  <si>
    <t>Trong đó: thu tiền bảo vệ phát triển đất trồng lúa</t>
  </si>
  <si>
    <t xml:space="preserve">    7) Chi Đối ứng 03 CTMT QG</t>
  </si>
  <si>
    <t xml:space="preserve">  1.Thu từ KV DN do NN giữ vai trò chủ đạo TW quản lý</t>
  </si>
  <si>
    <t xml:space="preserve">  2.Thu từ KV DN do NN giữ vai trò chủ đạo ĐP quản lý</t>
  </si>
  <si>
    <t>TỔNG THU NSNN TRÊN ĐỊA BÀN (I+II)</t>
  </si>
  <si>
    <t xml:space="preserve">  3.Thu từ KV doanh nghiệp có vốn ĐTNN</t>
  </si>
  <si>
    <t xml:space="preserve">  4.Thu từ KV kinh tế ngoài quốc doanh</t>
  </si>
  <si>
    <t xml:space="preserve">  8.Thuế Bảo vệ môi trường thu từ hàng hóa trong nước</t>
  </si>
  <si>
    <t>12. Thu Quỹ đất công ích và hoa lợi công sản khác</t>
  </si>
  <si>
    <t>13.Thu khác ngân sách</t>
  </si>
  <si>
    <t>14. Thu cấp quyền khai thác khoáng sản, tài nguyên</t>
  </si>
  <si>
    <t>15.Thu hồi vốn, thu cổ tức, lợi nhuận sau thuế</t>
  </si>
  <si>
    <t>16. Thu từ hoạt động xổ số kiến thiết</t>
  </si>
  <si>
    <t>III/- CHI TRẢ NỢ LÃI CÁC KHOẢN DO CHÍNH
 QUYỀN ĐỊA PHƯƠNG VAY</t>
  </si>
  <si>
    <t xml:space="preserve">    3. Nguồn thực hiện CCTL </t>
  </si>
  <si>
    <t xml:space="preserve"> - Vốn đầu tư</t>
  </si>
  <si>
    <t xml:space="preserve"> - Vốn thường xuyên</t>
  </si>
  <si>
    <t>VI/- CHI TẠO NGUỒN,  ĐIỀU CHỈNH TIỀN LƯƠNG</t>
  </si>
  <si>
    <t>III/ KP thực hiện 3 Chương trình MTQG</t>
  </si>
  <si>
    <t>DỰ TOÁN 2024</t>
  </si>
  <si>
    <t>Dự toán HĐND tỉnh giao năm 2024</t>
  </si>
  <si>
    <t xml:space="preserve">    - Cấp tỉnh quản lý</t>
  </si>
  <si>
    <t xml:space="preserve">    - Cấp huyện quản lý</t>
  </si>
  <si>
    <t xml:space="preserve">    - Cấp tỉnh</t>
  </si>
  <si>
    <t xml:space="preserve">    - Cấp huyện</t>
  </si>
  <si>
    <t xml:space="preserve">    2. Thu bổ sung cân đối từ ngân sách cấp trên</t>
  </si>
  <si>
    <t>% TH so</t>
  </si>
  <si>
    <t xml:space="preserve">%TH so </t>
  </si>
  <si>
    <t>TỔNG</t>
  </si>
  <si>
    <t>TỈNH</t>
  </si>
  <si>
    <t>HUYỆN</t>
  </si>
  <si>
    <t>LONG XUYÊN</t>
  </si>
  <si>
    <t>CHÂU ĐỐC</t>
  </si>
  <si>
    <t>TÂN CHÂU</t>
  </si>
  <si>
    <t>CHỢ MỚI</t>
  </si>
  <si>
    <t>PHÚ TÂN</t>
  </si>
  <si>
    <t>CHÂU PHÚ</t>
  </si>
  <si>
    <t>CHÂU THÀNH</t>
  </si>
  <si>
    <t>THOẠI SƠN</t>
  </si>
  <si>
    <t>TRI TÔN</t>
  </si>
  <si>
    <t>TỊNH BIÊN</t>
  </si>
  <si>
    <t>AN PHÚ</t>
  </si>
  <si>
    <t>DT</t>
  </si>
  <si>
    <t>Thực hiện trong tháng</t>
  </si>
  <si>
    <t>%</t>
  </si>
  <si>
    <t>TỔNG THU NSNN TỪ KINH TẾ ĐỊA BÀN (I+II)</t>
  </si>
  <si>
    <t xml:space="preserve">     - Phí và lệ phí tỉnh</t>
  </si>
  <si>
    <t xml:space="preserve">     - Phí và lệ phí huyện</t>
  </si>
  <si>
    <t xml:space="preserve">     - Phí và lệ phí xã (đò, chợ, khác)</t>
  </si>
  <si>
    <t xml:space="preserve">    Trong đó: NS tỉnh hưởng</t>
  </si>
  <si>
    <t xml:space="preserve">  Thu cân đối ngân sách (không bao gồm bội chi)</t>
  </si>
  <si>
    <t>Số thu cân đối NSĐP không bao gồm đất, XSKT</t>
  </si>
  <si>
    <t xml:space="preserve">      - Thu ngân sách địa phương hưởng 100%</t>
  </si>
  <si>
    <t xml:space="preserve">      - Thu phân chia giữa các cấp ngân sách</t>
  </si>
  <si>
    <t xml:space="preserve">   6) Chi ngân sách xã</t>
  </si>
  <si>
    <t xml:space="preserve">   7) Chi khác ngân sách</t>
  </si>
  <si>
    <t>III/- CHI TRẢ NỢ LÃI CÁC KHOẢN DO
 CHÍNH QUYỀN ĐỊA PHƯƠNG VAY</t>
  </si>
  <si>
    <t>III. Chương trình MTQG</t>
  </si>
  <si>
    <t>6=5/3</t>
  </si>
  <si>
    <t>5=4/2</t>
  </si>
  <si>
    <t>Lũy kế từ đầu năm</t>
  </si>
  <si>
    <t xml:space="preserve"> THỰC HIỆN THU NGÂN SÁCH NHÀ NƯỚC THÁNG 8 NĂM 2024</t>
  </si>
  <si>
    <t>THỰC HIỆN CHI NGÂN SÁCH ĐỊA PHƯƠNG THÁNG 8 NĂM 2024</t>
  </si>
  <si>
    <t>THỰC HIỆN THU NGÂN SÁCH NHÀ NƯỚC THÁNG 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</si>
</sst>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0.0000"/>
    <numFmt numFmtId="168" formatCode="_(* #,##0.00000_);_(* \(#,##0.0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164" fontId="5" fillId="0" borderId="6" xfId="1" applyNumberFormat="1" applyFont="1" applyFill="1" applyBorder="1"/>
    <xf numFmtId="164" fontId="5" fillId="0" borderId="6" xfId="4" applyNumberFormat="1" applyFont="1" applyFill="1" applyBorder="1"/>
    <xf numFmtId="0" fontId="5" fillId="0" borderId="6" xfId="0" applyFont="1" applyFill="1" applyBorder="1"/>
    <xf numFmtId="0" fontId="5" fillId="0" borderId="5" xfId="0" applyFont="1" applyFill="1" applyBorder="1"/>
    <xf numFmtId="164" fontId="6" fillId="0" borderId="5" xfId="4" applyNumberFormat="1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3" fontId="6" fillId="0" borderId="3" xfId="0" applyNumberFormat="1" applyFont="1" applyFill="1" applyBorder="1"/>
    <xf numFmtId="164" fontId="6" fillId="0" borderId="3" xfId="1" applyNumberFormat="1" applyFont="1" applyFill="1" applyBorder="1"/>
    <xf numFmtId="43" fontId="6" fillId="0" borderId="6" xfId="0" applyNumberFormat="1" applyFont="1" applyFill="1" applyBorder="1"/>
    <xf numFmtId="164" fontId="6" fillId="0" borderId="6" xfId="1" applyNumberFormat="1" applyFont="1" applyFill="1" applyBorder="1"/>
    <xf numFmtId="43" fontId="5" fillId="0" borderId="6" xfId="0" applyNumberFormat="1" applyFont="1" applyFill="1" applyBorder="1"/>
    <xf numFmtId="164" fontId="5" fillId="0" borderId="6" xfId="0" applyNumberFormat="1" applyFont="1" applyFill="1" applyBorder="1" applyProtection="1">
      <protection hidden="1"/>
    </xf>
    <xf numFmtId="164" fontId="5" fillId="0" borderId="6" xfId="0" applyNumberFormat="1" applyFont="1" applyFill="1" applyBorder="1"/>
    <xf numFmtId="164" fontId="7" fillId="0" borderId="6" xfId="0" applyNumberFormat="1" applyFont="1" applyFill="1" applyBorder="1" applyProtection="1">
      <protection hidden="1"/>
    </xf>
    <xf numFmtId="0" fontId="7" fillId="0" borderId="0" xfId="0" applyFont="1" applyFill="1"/>
    <xf numFmtId="43" fontId="8" fillId="0" borderId="6" xfId="0" applyNumberFormat="1" applyFont="1" applyFill="1" applyBorder="1"/>
    <xf numFmtId="164" fontId="5" fillId="0" borderId="6" xfId="0" applyNumberFormat="1" applyFont="1" applyFill="1" applyBorder="1" applyAlignment="1"/>
    <xf numFmtId="164" fontId="5" fillId="0" borderId="0" xfId="0" applyNumberFormat="1" applyFont="1" applyFill="1"/>
    <xf numFmtId="0" fontId="6" fillId="0" borderId="0" xfId="0" applyFont="1" applyFill="1" applyAlignment="1"/>
    <xf numFmtId="3" fontId="7" fillId="0" borderId="1" xfId="0" applyNumberFormat="1" applyFont="1" applyFill="1" applyBorder="1" applyAlignment="1"/>
    <xf numFmtId="0" fontId="6" fillId="0" borderId="4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6" fillId="0" borderId="6" xfId="1" applyFont="1" applyFill="1" applyBorder="1"/>
    <xf numFmtId="3" fontId="6" fillId="0" borderId="6" xfId="1" applyNumberFormat="1" applyFont="1" applyFill="1" applyBorder="1"/>
    <xf numFmtId="3" fontId="5" fillId="0" borderId="6" xfId="1" applyNumberFormat="1" applyFont="1" applyFill="1" applyBorder="1"/>
    <xf numFmtId="3" fontId="7" fillId="0" borderId="6" xfId="1" applyNumberFormat="1" applyFont="1" applyFill="1" applyBorder="1"/>
    <xf numFmtId="43" fontId="7" fillId="0" borderId="6" xfId="0" applyNumberFormat="1" applyFont="1" applyFill="1" applyBorder="1"/>
    <xf numFmtId="0" fontId="6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left"/>
    </xf>
    <xf numFmtId="164" fontId="8" fillId="0" borderId="6" xfId="1" applyNumberFormat="1" applyFont="1" applyFill="1" applyBorder="1"/>
    <xf numFmtId="0" fontId="5" fillId="0" borderId="6" xfId="1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Border="1" applyAlignment="1"/>
    <xf numFmtId="3" fontId="11" fillId="2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/>
    </xf>
    <xf numFmtId="0" fontId="11" fillId="0" borderId="3" xfId="2" applyFont="1" applyBorder="1" applyAlignment="1">
      <alignment horizontal="center" vertical="center"/>
    </xf>
    <xf numFmtId="164" fontId="11" fillId="0" borderId="3" xfId="2" applyNumberFormat="1" applyFont="1" applyBorder="1" applyAlignment="1">
      <alignment vertical="center"/>
    </xf>
    <xf numFmtId="43" fontId="11" fillId="4" borderId="3" xfId="3" applyNumberFormat="1" applyFont="1" applyFill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164" fontId="11" fillId="0" borderId="6" xfId="2" applyNumberFormat="1" applyFont="1" applyBorder="1" applyAlignment="1">
      <alignment vertical="center"/>
    </xf>
    <xf numFmtId="43" fontId="11" fillId="4" borderId="6" xfId="3" applyNumberFormat="1" applyFont="1" applyFill="1" applyBorder="1" applyAlignment="1">
      <alignment horizontal="right"/>
    </xf>
    <xf numFmtId="0" fontId="11" fillId="0" borderId="0" xfId="0" applyFont="1"/>
    <xf numFmtId="0" fontId="11" fillId="4" borderId="6" xfId="3" applyFont="1" applyFill="1" applyBorder="1" applyAlignment="1">
      <alignment horizontal="left"/>
    </xf>
    <xf numFmtId="164" fontId="11" fillId="4" borderId="6" xfId="3" applyNumberFormat="1" applyFont="1" applyFill="1" applyBorder="1" applyAlignment="1">
      <alignment horizontal="right"/>
    </xf>
    <xf numFmtId="164" fontId="11" fillId="0" borderId="6" xfId="3" applyNumberFormat="1" applyFont="1" applyFill="1" applyBorder="1" applyAlignment="1">
      <alignment horizontal="right"/>
    </xf>
    <xf numFmtId="0" fontId="10" fillId="4" borderId="6" xfId="3" applyFont="1" applyFill="1" applyBorder="1" applyAlignment="1">
      <alignment horizontal="left"/>
    </xf>
    <xf numFmtId="164" fontId="10" fillId="4" borderId="6" xfId="3" applyNumberFormat="1" applyFont="1" applyFill="1" applyBorder="1" applyAlignment="1">
      <alignment horizontal="right"/>
    </xf>
    <xf numFmtId="164" fontId="10" fillId="0" borderId="6" xfId="3" applyNumberFormat="1" applyFont="1" applyFill="1" applyBorder="1" applyAlignment="1">
      <alignment horizontal="right"/>
    </xf>
    <xf numFmtId="43" fontId="10" fillId="4" borderId="6" xfId="3" applyNumberFormat="1" applyFont="1" applyFill="1" applyBorder="1" applyAlignment="1">
      <alignment horizontal="right"/>
    </xf>
    <xf numFmtId="0" fontId="11" fillId="4" borderId="6" xfId="3" applyNumberFormat="1" applyFont="1" applyFill="1" applyBorder="1" applyAlignment="1">
      <alignment horizontal="left"/>
    </xf>
    <xf numFmtId="0" fontId="11" fillId="4" borderId="6" xfId="3" applyNumberFormat="1" applyFont="1" applyFill="1" applyBorder="1"/>
    <xf numFmtId="0" fontId="10" fillId="4" borderId="6" xfId="3" applyNumberFormat="1" applyFont="1" applyFill="1" applyBorder="1"/>
    <xf numFmtId="0" fontId="10" fillId="5" borderId="6" xfId="3" applyNumberFormat="1" applyFont="1" applyFill="1" applyBorder="1"/>
    <xf numFmtId="3" fontId="11" fillId="0" borderId="6" xfId="0" applyNumberFormat="1" applyFont="1" applyBorder="1"/>
    <xf numFmtId="164" fontId="10" fillId="0" borderId="6" xfId="4" applyNumberFormat="1" applyFont="1" applyBorder="1"/>
    <xf numFmtId="164" fontId="11" fillId="0" borderId="6" xfId="4" applyNumberFormat="1" applyFont="1" applyBorder="1"/>
    <xf numFmtId="0" fontId="11" fillId="4" borderId="6" xfId="3" applyFont="1" applyFill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/>
    <xf numFmtId="164" fontId="10" fillId="0" borderId="5" xfId="4" applyNumberFormat="1" applyFont="1" applyBorder="1"/>
    <xf numFmtId="43" fontId="10" fillId="4" borderId="5" xfId="3" applyNumberFormat="1" applyFont="1" applyFill="1" applyBorder="1" applyAlignment="1">
      <alignment horizontal="right"/>
    </xf>
    <xf numFmtId="0" fontId="10" fillId="0" borderId="5" xfId="0" applyFont="1" applyBorder="1"/>
    <xf numFmtId="164" fontId="10" fillId="0" borderId="0" xfId="0" applyNumberFormat="1" applyFont="1"/>
    <xf numFmtId="0" fontId="8" fillId="0" borderId="6" xfId="1" applyFont="1" applyFill="1" applyBorder="1" applyAlignment="1">
      <alignment horizontal="left"/>
    </xf>
    <xf numFmtId="164" fontId="10" fillId="0" borderId="6" xfId="4" applyNumberFormat="1" applyFont="1" applyFill="1" applyBorder="1"/>
    <xf numFmtId="0" fontId="6" fillId="0" borderId="0" xfId="0" applyFont="1" applyFill="1"/>
    <xf numFmtId="3" fontId="6" fillId="0" borderId="3" xfId="1" applyNumberFormat="1" applyFont="1" applyFill="1" applyBorder="1" applyAlignment="1">
      <alignment horizontal="center"/>
    </xf>
    <xf numFmtId="0" fontId="11" fillId="4" borderId="6" xfId="3" applyNumberFormat="1" applyFont="1" applyFill="1" applyBorder="1" applyAlignment="1">
      <alignment wrapText="1"/>
    </xf>
    <xf numFmtId="164" fontId="10" fillId="0" borderId="5" xfId="4" applyNumberFormat="1" applyFont="1" applyFill="1" applyBorder="1"/>
    <xf numFmtId="0" fontId="6" fillId="0" borderId="5" xfId="1" applyFont="1" applyFill="1" applyBorder="1"/>
    <xf numFmtId="43" fontId="6" fillId="0" borderId="5" xfId="0" applyNumberFormat="1" applyFont="1" applyFill="1" applyBorder="1"/>
    <xf numFmtId="0" fontId="6" fillId="0" borderId="5" xfId="0" applyFont="1" applyFill="1" applyBorder="1"/>
    <xf numFmtId="43" fontId="15" fillId="4" borderId="6" xfId="3" applyNumberFormat="1" applyFont="1" applyFill="1" applyBorder="1" applyAlignment="1">
      <alignment horizontal="right"/>
    </xf>
    <xf numFmtId="164" fontId="10" fillId="0" borderId="6" xfId="0" applyNumberFormat="1" applyFont="1" applyFill="1" applyBorder="1" applyProtection="1">
      <protection hidden="1"/>
    </xf>
    <xf numFmtId="164" fontId="12" fillId="0" borderId="6" xfId="0" applyNumberFormat="1" applyFont="1" applyFill="1" applyBorder="1" applyProtection="1">
      <protection hidden="1"/>
    </xf>
    <xf numFmtId="164" fontId="11" fillId="0" borderId="6" xfId="0" applyNumberFormat="1" applyFont="1" applyFill="1" applyBorder="1" applyProtection="1">
      <protection hidden="1"/>
    </xf>
    <xf numFmtId="43" fontId="10" fillId="0" borderId="6" xfId="4" applyFont="1" applyFill="1" applyBorder="1"/>
    <xf numFmtId="164" fontId="11" fillId="0" borderId="6" xfId="1" applyNumberFormat="1" applyFont="1" applyFill="1" applyBorder="1"/>
    <xf numFmtId="43" fontId="11" fillId="0" borderId="6" xfId="4" applyFont="1" applyFill="1" applyBorder="1"/>
    <xf numFmtId="43" fontId="22" fillId="0" borderId="6" xfId="4" applyFont="1" applyFill="1" applyBorder="1"/>
    <xf numFmtId="164" fontId="11" fillId="0" borderId="5" xfId="1" applyNumberFormat="1" applyFont="1" applyFill="1" applyBorder="1"/>
    <xf numFmtId="43" fontId="11" fillId="0" borderId="5" xfId="4" applyFont="1" applyFill="1" applyBorder="1"/>
    <xf numFmtId="43" fontId="11" fillId="0" borderId="6" xfId="3" applyNumberFormat="1" applyFont="1" applyFill="1" applyBorder="1" applyAlignment="1">
      <alignment horizontal="right"/>
    </xf>
    <xf numFmtId="0" fontId="11" fillId="0" borderId="0" xfId="0" applyFont="1" applyFill="1"/>
    <xf numFmtId="164" fontId="5" fillId="0" borderId="0" xfId="4" applyNumberFormat="1" applyFont="1" applyFill="1"/>
    <xf numFmtId="3" fontId="7" fillId="0" borderId="0" xfId="0" applyNumberFormat="1" applyFont="1" applyFill="1" applyBorder="1" applyAlignment="1"/>
    <xf numFmtId="43" fontId="10" fillId="0" borderId="6" xfId="4" applyFont="1" applyFill="1" applyBorder="1" applyProtection="1">
      <protection hidden="1"/>
    </xf>
    <xf numFmtId="164" fontId="10" fillId="0" borderId="6" xfId="0" applyNumberFormat="1" applyFont="1" applyFill="1" applyBorder="1"/>
    <xf numFmtId="43" fontId="12" fillId="0" borderId="6" xfId="4" applyFont="1" applyFill="1" applyBorder="1" applyProtection="1">
      <protection hidden="1"/>
    </xf>
    <xf numFmtId="0" fontId="11" fillId="0" borderId="6" xfId="1" applyFont="1" applyFill="1" applyBorder="1" applyAlignment="1">
      <alignment horizontal="center"/>
    </xf>
    <xf numFmtId="43" fontId="11" fillId="0" borderId="6" xfId="4" applyFont="1" applyFill="1" applyBorder="1" applyProtection="1">
      <protection hidden="1"/>
    </xf>
    <xf numFmtId="0" fontId="11" fillId="0" borderId="6" xfId="1" applyFont="1" applyFill="1" applyBorder="1" applyAlignment="1">
      <alignment horizontal="left"/>
    </xf>
    <xf numFmtId="0" fontId="18" fillId="0" borderId="6" xfId="1" applyFont="1" applyFill="1" applyBorder="1" applyAlignment="1">
      <alignment horizontal="left"/>
    </xf>
    <xf numFmtId="164" fontId="18" fillId="0" borderId="6" xfId="0" applyNumberFormat="1" applyFont="1" applyFill="1" applyBorder="1" applyProtection="1">
      <protection hidden="1"/>
    </xf>
    <xf numFmtId="43" fontId="18" fillId="0" borderId="6" xfId="4" applyFont="1" applyFill="1" applyBorder="1" applyProtection="1">
      <protection hidden="1"/>
    </xf>
    <xf numFmtId="0" fontId="10" fillId="0" borderId="6" xfId="1" applyFont="1" applyFill="1" applyBorder="1"/>
    <xf numFmtId="164" fontId="10" fillId="0" borderId="6" xfId="1" applyNumberFormat="1" applyFont="1" applyFill="1" applyBorder="1"/>
    <xf numFmtId="0" fontId="11" fillId="0" borderId="6" xfId="1" applyFont="1" applyFill="1" applyBorder="1"/>
    <xf numFmtId="0" fontId="11" fillId="0" borderId="5" xfId="1" applyFont="1" applyFill="1" applyBorder="1"/>
    <xf numFmtId="0" fontId="0" fillId="0" borderId="0" xfId="0" applyFont="1" applyFill="1"/>
    <xf numFmtId="0" fontId="10" fillId="0" borderId="0" xfId="0" applyFont="1" applyFill="1"/>
    <xf numFmtId="3" fontId="10" fillId="0" borderId="6" xfId="1" applyNumberFormat="1" applyFont="1" applyFill="1" applyBorder="1"/>
    <xf numFmtId="43" fontId="10" fillId="0" borderId="6" xfId="0" applyNumberFormat="1" applyFont="1" applyFill="1" applyBorder="1"/>
    <xf numFmtId="43" fontId="11" fillId="0" borderId="3" xfId="3" applyNumberFormat="1" applyFont="1" applyFill="1" applyBorder="1" applyAlignment="1">
      <alignment horizontal="right"/>
    </xf>
    <xf numFmtId="164" fontId="11" fillId="0" borderId="3" xfId="2" applyNumberFormat="1" applyFont="1" applyFill="1" applyBorder="1" applyAlignment="1">
      <alignment vertical="center"/>
    </xf>
    <xf numFmtId="43" fontId="10" fillId="0" borderId="6" xfId="3" applyNumberFormat="1" applyFont="1" applyFill="1" applyBorder="1" applyAlignment="1">
      <alignment horizontal="right"/>
    </xf>
    <xf numFmtId="43" fontId="24" fillId="0" borderId="6" xfId="3" applyNumberFormat="1" applyFont="1" applyFill="1" applyBorder="1" applyAlignment="1">
      <alignment horizontal="right"/>
    </xf>
    <xf numFmtId="43" fontId="23" fillId="0" borderId="6" xfId="3" applyNumberFormat="1" applyFont="1" applyFill="1" applyBorder="1" applyAlignment="1">
      <alignment horizontal="right"/>
    </xf>
    <xf numFmtId="43" fontId="10" fillId="0" borderId="5" xfId="3" applyNumberFormat="1" applyFont="1" applyFill="1" applyBorder="1" applyAlignment="1">
      <alignment horizontal="right"/>
    </xf>
    <xf numFmtId="164" fontId="10" fillId="0" borderId="0" xfId="4" applyNumberFormat="1" applyFont="1" applyFill="1"/>
    <xf numFmtId="165" fontId="10" fillId="0" borderId="0" xfId="4" applyNumberFormat="1" applyFont="1" applyFill="1"/>
    <xf numFmtId="164" fontId="10" fillId="0" borderId="0" xfId="0" applyNumberFormat="1" applyFont="1" applyFill="1"/>
    <xf numFmtId="0" fontId="11" fillId="0" borderId="3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164" fontId="11" fillId="0" borderId="6" xfId="2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left"/>
    </xf>
    <xf numFmtId="0" fontId="11" fillId="0" borderId="6" xfId="3" applyNumberFormat="1" applyFont="1" applyFill="1" applyBorder="1" applyAlignment="1">
      <alignment horizontal="left"/>
    </xf>
    <xf numFmtId="0" fontId="11" fillId="0" borderId="6" xfId="3" applyNumberFormat="1" applyFont="1" applyFill="1" applyBorder="1"/>
    <xf numFmtId="0" fontId="10" fillId="0" borderId="6" xfId="3" applyNumberFormat="1" applyFont="1" applyFill="1" applyBorder="1"/>
    <xf numFmtId="0" fontId="11" fillId="0" borderId="6" xfId="3" applyNumberFormat="1" applyFont="1" applyFill="1" applyBorder="1" applyAlignment="1">
      <alignment wrapText="1"/>
    </xf>
    <xf numFmtId="0" fontId="11" fillId="0" borderId="6" xfId="3" applyFont="1" applyFill="1" applyBorder="1"/>
    <xf numFmtId="0" fontId="11" fillId="0" borderId="6" xfId="0" applyFont="1" applyFill="1" applyBorder="1" applyAlignment="1">
      <alignment horizontal="center"/>
    </xf>
    <xf numFmtId="164" fontId="11" fillId="0" borderId="6" xfId="4" applyNumberFormat="1" applyFont="1" applyFill="1" applyBorder="1"/>
    <xf numFmtId="0" fontId="10" fillId="0" borderId="6" xfId="0" applyFont="1" applyFill="1" applyBorder="1"/>
    <xf numFmtId="0" fontId="10" fillId="0" borderId="5" xfId="0" applyFont="1" applyFill="1" applyBorder="1"/>
    <xf numFmtId="0" fontId="9" fillId="0" borderId="0" xfId="0" applyFont="1" applyAlignment="1"/>
    <xf numFmtId="3" fontId="9" fillId="0" borderId="0" xfId="0" applyNumberFormat="1" applyFont="1" applyAlignment="1"/>
    <xf numFmtId="164" fontId="15" fillId="0" borderId="0" xfId="4" applyNumberFormat="1" applyFont="1" applyFill="1" applyAlignment="1"/>
    <xf numFmtId="165" fontId="15" fillId="0" borderId="0" xfId="4" applyNumberFormat="1" applyFont="1" applyFill="1" applyAlignment="1"/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/>
    <xf numFmtId="0" fontId="22" fillId="0" borderId="0" xfId="0" applyFont="1" applyFill="1" applyAlignment="1"/>
    <xf numFmtId="3" fontId="11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0" fontId="12" fillId="0" borderId="1" xfId="0" applyFont="1" applyFill="1" applyBorder="1" applyAlignment="1">
      <alignment horizontal="center"/>
    </xf>
    <xf numFmtId="166" fontId="17" fillId="0" borderId="0" xfId="4" applyNumberFormat="1" applyFont="1" applyFill="1"/>
    <xf numFmtId="167" fontId="17" fillId="0" borderId="0" xfId="0" applyNumberFormat="1" applyFont="1" applyFill="1"/>
    <xf numFmtId="164" fontId="0" fillId="0" borderId="0" xfId="4" applyNumberFormat="1" applyFont="1" applyFill="1"/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164" fontId="12" fillId="0" borderId="1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/>
    </xf>
    <xf numFmtId="164" fontId="11" fillId="0" borderId="3" xfId="1" applyNumberFormat="1" applyFont="1" applyFill="1" applyBorder="1"/>
    <xf numFmtId="43" fontId="11" fillId="0" borderId="3" xfId="4" applyFont="1" applyFill="1" applyBorder="1"/>
    <xf numFmtId="43" fontId="11" fillId="0" borderId="3" xfId="0" applyNumberFormat="1" applyFont="1" applyFill="1" applyBorder="1"/>
    <xf numFmtId="43" fontId="11" fillId="0" borderId="6" xfId="0" applyNumberFormat="1" applyFont="1" applyFill="1" applyBorder="1"/>
    <xf numFmtId="3" fontId="11" fillId="0" borderId="6" xfId="1" applyNumberFormat="1" applyFont="1" applyFill="1" applyBorder="1"/>
    <xf numFmtId="3" fontId="18" fillId="0" borderId="6" xfId="1" applyNumberFormat="1" applyFont="1" applyFill="1" applyBorder="1"/>
    <xf numFmtId="164" fontId="18" fillId="0" borderId="6" xfId="1" applyNumberFormat="1" applyFont="1" applyFill="1" applyBorder="1"/>
    <xf numFmtId="43" fontId="18" fillId="0" borderId="6" xfId="4" applyFont="1" applyFill="1" applyBorder="1"/>
    <xf numFmtId="43" fontId="18" fillId="0" borderId="6" xfId="0" applyNumberFormat="1" applyFont="1" applyFill="1" applyBorder="1"/>
    <xf numFmtId="0" fontId="19" fillId="0" borderId="0" xfId="0" applyFont="1" applyFill="1"/>
    <xf numFmtId="3" fontId="12" fillId="0" borderId="6" xfId="1" applyNumberFormat="1" applyFont="1" applyFill="1" applyBorder="1"/>
    <xf numFmtId="43" fontId="12" fillId="0" borderId="6" xfId="0" applyNumberFormat="1" applyFont="1" applyFill="1" applyBorder="1"/>
    <xf numFmtId="0" fontId="20" fillId="0" borderId="0" xfId="0" applyFont="1" applyFill="1"/>
    <xf numFmtId="0" fontId="21" fillId="0" borderId="0" xfId="0" applyFont="1" applyFill="1"/>
    <xf numFmtId="0" fontId="11" fillId="0" borderId="0" xfId="0" applyFont="1" applyFill="1" applyAlignment="1"/>
    <xf numFmtId="165" fontId="11" fillId="0" borderId="0" xfId="4" applyNumberFormat="1" applyFont="1" applyFill="1" applyAlignment="1"/>
    <xf numFmtId="43" fontId="11" fillId="0" borderId="0" xfId="4" applyFont="1" applyFill="1" applyAlignment="1"/>
    <xf numFmtId="164" fontId="15" fillId="0" borderId="0" xfId="0" applyNumberFormat="1" applyFont="1" applyFill="1" applyAlignment="1"/>
    <xf numFmtId="0" fontId="15" fillId="0" borderId="0" xfId="0" applyFont="1" applyFill="1" applyAlignment="1"/>
    <xf numFmtId="0" fontId="15" fillId="0" borderId="0" xfId="0" applyFont="1" applyFill="1"/>
    <xf numFmtId="165" fontId="11" fillId="0" borderId="0" xfId="0" applyNumberFormat="1" applyFont="1" applyFill="1" applyBorder="1" applyAlignment="1"/>
    <xf numFmtId="165" fontId="11" fillId="0" borderId="0" xfId="4" applyNumberFormat="1" applyFont="1" applyFill="1" applyBorder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0" fontId="10" fillId="0" borderId="0" xfId="0" applyFont="1" applyFill="1" applyBorder="1"/>
    <xf numFmtId="168" fontId="10" fillId="0" borderId="0" xfId="4" applyNumberFormat="1" applyFont="1" applyFill="1"/>
    <xf numFmtId="166" fontId="10" fillId="0" borderId="0" xfId="4" applyNumberFormat="1" applyFont="1" applyFill="1"/>
    <xf numFmtId="164" fontId="12" fillId="0" borderId="1" xfId="4" applyNumberFormat="1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6" xfId="3" applyFont="1" applyFill="1" applyBorder="1" applyAlignment="1">
      <alignment horizontal="left"/>
    </xf>
    <xf numFmtId="164" fontId="11" fillId="0" borderId="0" xfId="4" applyNumberFormat="1" applyFont="1" applyFill="1" applyAlignment="1"/>
  </cellXfs>
  <cellStyles count="5">
    <cellStyle name="Comma" xfId="4" builtinId="3"/>
    <cellStyle name="Normal" xfId="0" builtinId="0"/>
    <cellStyle name="Normal_Chi_2004(TT)" xfId="3"/>
    <cellStyle name="Normal_Chi-HDND" xfId="2"/>
    <cellStyle name="Normal_QT 2011" xfId="1"/>
  </cellStyles>
  <dxfs count="0"/>
  <tableStyles count="0" defaultTableStyle="TableStyleMedium9" defaultPivotStyle="PivotStyleLight16"/>
  <colors>
    <mruColors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49"/>
  <sheetViews>
    <sheetView zoomScaleNormal="100" workbookViewId="0">
      <pane xSplit="1" ySplit="8" topLeftCell="B30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RowHeight="15.75" x14ac:dyDescent="0.25"/>
  <cols>
    <col min="1" max="1" width="57.42578125" style="6" bestFit="1" customWidth="1"/>
    <col min="2" max="2" width="14" style="6" bestFit="1" customWidth="1"/>
    <col min="3" max="3" width="13.7109375" style="6" bestFit="1" customWidth="1"/>
    <col min="4" max="5" width="12.7109375" style="6" bestFit="1" customWidth="1"/>
    <col min="6" max="7" width="9.5703125" style="6" bestFit="1" customWidth="1"/>
    <col min="8" max="16384" width="9.140625" style="6"/>
  </cols>
  <sheetData>
    <row r="1" spans="1:7" x14ac:dyDescent="0.25">
      <c r="A1" s="142"/>
      <c r="B1" s="142"/>
      <c r="C1" s="142"/>
      <c r="D1" s="138"/>
      <c r="E1" s="36"/>
      <c r="F1" s="138"/>
      <c r="G1" s="138"/>
    </row>
    <row r="2" spans="1:7" x14ac:dyDescent="0.25">
      <c r="A2" s="142" t="s">
        <v>124</v>
      </c>
      <c r="B2" s="142"/>
      <c r="C2" s="142"/>
      <c r="D2" s="142"/>
      <c r="E2" s="142"/>
      <c r="F2" s="142"/>
      <c r="G2" s="142"/>
    </row>
    <row r="3" spans="1:7" x14ac:dyDescent="0.25">
      <c r="A3" s="142"/>
      <c r="B3" s="142"/>
      <c r="C3" s="142"/>
      <c r="D3" s="142"/>
      <c r="E3" s="142"/>
      <c r="F3" s="142"/>
      <c r="G3" s="142"/>
    </row>
    <row r="4" spans="1:7" x14ac:dyDescent="0.25">
      <c r="A4" s="21"/>
      <c r="B4" s="22"/>
      <c r="C4" s="22"/>
      <c r="D4" s="94"/>
      <c r="E4" s="35"/>
      <c r="F4" s="149" t="s">
        <v>0</v>
      </c>
      <c r="G4" s="149"/>
    </row>
    <row r="5" spans="1:7" ht="34.5" customHeight="1" x14ac:dyDescent="0.25">
      <c r="A5" s="143" t="s">
        <v>1</v>
      </c>
      <c r="B5" s="144" t="s">
        <v>82</v>
      </c>
      <c r="C5" s="145"/>
      <c r="D5" s="146" t="s">
        <v>106</v>
      </c>
      <c r="E5" s="146" t="s">
        <v>123</v>
      </c>
      <c r="F5" s="148" t="s">
        <v>89</v>
      </c>
      <c r="G5" s="148"/>
    </row>
    <row r="6" spans="1:7" ht="34.5" customHeight="1" x14ac:dyDescent="0.25">
      <c r="A6" s="143"/>
      <c r="B6" s="23" t="s">
        <v>2</v>
      </c>
      <c r="C6" s="23" t="s">
        <v>3</v>
      </c>
      <c r="D6" s="147"/>
      <c r="E6" s="147"/>
      <c r="F6" s="139" t="s">
        <v>33</v>
      </c>
      <c r="G6" s="139" t="s">
        <v>34</v>
      </c>
    </row>
    <row r="7" spans="1:7" x14ac:dyDescent="0.25">
      <c r="A7" s="24">
        <v>1</v>
      </c>
      <c r="B7" s="25">
        <v>2</v>
      </c>
      <c r="C7" s="25">
        <v>3</v>
      </c>
      <c r="D7" s="25">
        <v>4</v>
      </c>
      <c r="E7" s="7">
        <v>5</v>
      </c>
      <c r="F7" s="7" t="s">
        <v>121</v>
      </c>
      <c r="G7" s="8">
        <v>7</v>
      </c>
    </row>
    <row r="8" spans="1:7" x14ac:dyDescent="0.25">
      <c r="A8" s="75" t="s">
        <v>67</v>
      </c>
      <c r="B8" s="10">
        <f>+B9+B10</f>
        <v>7197000</v>
      </c>
      <c r="C8" s="10">
        <f>+C9+C10</f>
        <v>7197000</v>
      </c>
      <c r="D8" s="10">
        <f>+D9+D10</f>
        <v>470644.114</v>
      </c>
      <c r="E8" s="10">
        <f>+E9+E10</f>
        <v>5896987.5290000001</v>
      </c>
      <c r="F8" s="9">
        <f t="shared" ref="F8:F33" si="0">+E8/C8%</f>
        <v>81.93674487981103</v>
      </c>
      <c r="G8" s="9">
        <v>113.20415245319649</v>
      </c>
    </row>
    <row r="9" spans="1:7" x14ac:dyDescent="0.25">
      <c r="A9" s="26" t="s">
        <v>24</v>
      </c>
      <c r="B9" s="12">
        <v>330000</v>
      </c>
      <c r="C9" s="12">
        <v>330000</v>
      </c>
      <c r="D9" s="12">
        <v>34343.701999999997</v>
      </c>
      <c r="E9" s="12">
        <v>390118.84</v>
      </c>
      <c r="F9" s="11">
        <f t="shared" si="0"/>
        <v>118.21783030303031</v>
      </c>
      <c r="G9" s="11">
        <v>145.61171014855574</v>
      </c>
    </row>
    <row r="10" spans="1:7" x14ac:dyDescent="0.25">
      <c r="A10" s="27" t="s">
        <v>25</v>
      </c>
      <c r="B10" s="12">
        <f>+B12+B13+B14+B15+B18+B19+B20+B21+B24+B26+B29+B30+B31+B35+B36+B37</f>
        <v>6867000</v>
      </c>
      <c r="C10" s="12">
        <f>+C12+C13+C14+C15+C18+C19+C20+C21+C24+C26+C29+C30+C31+C35+C36+C37</f>
        <v>6867000</v>
      </c>
      <c r="D10" s="12">
        <f>+D12+D13+D14+D15+D18+D19+D20+D21+D24+D26+D29+D30+D31+D35+D36+D37</f>
        <v>436300.41200000001</v>
      </c>
      <c r="E10" s="12">
        <f>+E12+E13+E14+E15+E18+E19+E20+E21+E24+E26+E29+E30+E31+E35+E36+E37</f>
        <v>5506868.6890000002</v>
      </c>
      <c r="F10" s="11">
        <f t="shared" si="0"/>
        <v>80.193223955147815</v>
      </c>
      <c r="G10" s="11">
        <v>111.44699544768946</v>
      </c>
    </row>
    <row r="11" spans="1:7" x14ac:dyDescent="0.25">
      <c r="A11" s="27" t="s">
        <v>26</v>
      </c>
      <c r="B11" s="12">
        <f>+B10-B26-B37</f>
        <v>4357000</v>
      </c>
      <c r="C11" s="12">
        <f>+C10-C26-C37</f>
        <v>4357000</v>
      </c>
      <c r="D11" s="12">
        <f>+D10-D26-D37</f>
        <v>312634.56199999998</v>
      </c>
      <c r="E11" s="12">
        <f>+E10-E26-E37</f>
        <v>3596026.6770000006</v>
      </c>
      <c r="F11" s="11">
        <f t="shared" si="0"/>
        <v>82.534465848060606</v>
      </c>
      <c r="G11" s="11">
        <v>105.37393351495346</v>
      </c>
    </row>
    <row r="12" spans="1:7" x14ac:dyDescent="0.25">
      <c r="A12" s="28" t="s">
        <v>65</v>
      </c>
      <c r="B12" s="14">
        <v>215000</v>
      </c>
      <c r="C12" s="14">
        <v>215000</v>
      </c>
      <c r="D12" s="14">
        <v>14450.311</v>
      </c>
      <c r="E12" s="14">
        <v>153244.57999999999</v>
      </c>
      <c r="F12" s="13">
        <f t="shared" si="0"/>
        <v>71.27654883720929</v>
      </c>
      <c r="G12" s="13">
        <v>96.193022567304624</v>
      </c>
    </row>
    <row r="13" spans="1:7" x14ac:dyDescent="0.25">
      <c r="A13" s="28" t="s">
        <v>66</v>
      </c>
      <c r="B13" s="15">
        <v>460000</v>
      </c>
      <c r="C13" s="15">
        <v>460000</v>
      </c>
      <c r="D13" s="15">
        <v>21910.521000000001</v>
      </c>
      <c r="E13" s="15">
        <v>383928.38199999998</v>
      </c>
      <c r="F13" s="13">
        <f t="shared" si="0"/>
        <v>83.462691739130435</v>
      </c>
      <c r="G13" s="13">
        <v>116.34575642633689</v>
      </c>
    </row>
    <row r="14" spans="1:7" x14ac:dyDescent="0.25">
      <c r="A14" s="28" t="s">
        <v>68</v>
      </c>
      <c r="B14" s="1">
        <v>75000</v>
      </c>
      <c r="C14" s="1">
        <v>75000</v>
      </c>
      <c r="D14" s="1">
        <v>3688.5880000000002</v>
      </c>
      <c r="E14" s="1">
        <v>64521.544000000002</v>
      </c>
      <c r="F14" s="13">
        <f t="shared" si="0"/>
        <v>86.028725333333341</v>
      </c>
      <c r="G14" s="13">
        <v>88.191821423981722</v>
      </c>
    </row>
    <row r="15" spans="1:7" x14ac:dyDescent="0.25">
      <c r="A15" s="28" t="s">
        <v>69</v>
      </c>
      <c r="B15" s="15">
        <v>1350000</v>
      </c>
      <c r="C15" s="15">
        <v>1350000</v>
      </c>
      <c r="D15" s="15">
        <v>95019.661999999997</v>
      </c>
      <c r="E15" s="15">
        <v>1120994.94</v>
      </c>
      <c r="F15" s="13">
        <f t="shared" si="0"/>
        <v>83.036662222222219</v>
      </c>
      <c r="G15" s="13">
        <v>96.231071937659948</v>
      </c>
    </row>
    <row r="16" spans="1:7" x14ac:dyDescent="0.25">
      <c r="A16" s="28" t="s">
        <v>84</v>
      </c>
      <c r="B16" s="15"/>
      <c r="C16" s="15">
        <v>664000</v>
      </c>
      <c r="D16" s="15">
        <v>27406.205000000002</v>
      </c>
      <c r="E16" s="15">
        <v>381688.31599999999</v>
      </c>
      <c r="F16" s="13">
        <f t="shared" si="0"/>
        <v>57.483180120481926</v>
      </c>
      <c r="G16" s="13">
        <v>69.721163289873161</v>
      </c>
    </row>
    <row r="17" spans="1:7" x14ac:dyDescent="0.25">
      <c r="A17" s="28" t="s">
        <v>85</v>
      </c>
      <c r="B17" s="15"/>
      <c r="C17" s="15">
        <f>+C15-C16</f>
        <v>686000</v>
      </c>
      <c r="D17" s="15">
        <f>+D15-D16</f>
        <v>67613.456999999995</v>
      </c>
      <c r="E17" s="15">
        <f>+E15-E16</f>
        <v>739306.62399999995</v>
      </c>
      <c r="F17" s="13">
        <f t="shared" si="0"/>
        <v>107.77064489795917</v>
      </c>
      <c r="G17" s="13">
        <v>119.73557536397227</v>
      </c>
    </row>
    <row r="18" spans="1:7" x14ac:dyDescent="0.25">
      <c r="A18" s="28" t="s">
        <v>4</v>
      </c>
      <c r="B18" s="14">
        <v>355000</v>
      </c>
      <c r="C18" s="14">
        <v>355000</v>
      </c>
      <c r="D18" s="14">
        <v>35333.180999999997</v>
      </c>
      <c r="E18" s="14">
        <v>227819.57399999999</v>
      </c>
      <c r="F18" s="13">
        <f t="shared" si="0"/>
        <v>64.174527887323947</v>
      </c>
      <c r="G18" s="13">
        <v>96.912862679742645</v>
      </c>
    </row>
    <row r="19" spans="1:7" x14ac:dyDescent="0.25">
      <c r="A19" s="28" t="s">
        <v>5</v>
      </c>
      <c r="B19" s="14">
        <v>17000</v>
      </c>
      <c r="C19" s="14">
        <v>17000</v>
      </c>
      <c r="D19" s="14">
        <v>1807.9110000000001</v>
      </c>
      <c r="E19" s="14">
        <v>16034.47</v>
      </c>
      <c r="F19" s="13">
        <f t="shared" si="0"/>
        <v>94.320411764705881</v>
      </c>
      <c r="G19" s="13">
        <v>103.92394395426859</v>
      </c>
    </row>
    <row r="20" spans="1:7" x14ac:dyDescent="0.25">
      <c r="A20" s="28" t="s">
        <v>6</v>
      </c>
      <c r="B20" s="14">
        <v>720000</v>
      </c>
      <c r="C20" s="14">
        <v>720000</v>
      </c>
      <c r="D20" s="14">
        <v>56266.517999999996</v>
      </c>
      <c r="E20" s="14">
        <v>520537.82500000001</v>
      </c>
      <c r="F20" s="13">
        <f t="shared" si="0"/>
        <v>72.296920138888893</v>
      </c>
      <c r="G20" s="13">
        <v>94.373362776263079</v>
      </c>
    </row>
    <row r="21" spans="1:7" x14ac:dyDescent="0.25">
      <c r="A21" s="28" t="s">
        <v>70</v>
      </c>
      <c r="B21" s="14">
        <v>410000</v>
      </c>
      <c r="C21" s="14">
        <v>410000</v>
      </c>
      <c r="D21" s="14">
        <v>32087.174999999999</v>
      </c>
      <c r="E21" s="14">
        <v>280478.31599999999</v>
      </c>
      <c r="F21" s="13">
        <f t="shared" si="0"/>
        <v>68.409345365853653</v>
      </c>
      <c r="G21" s="13">
        <v>113.59442428173156</v>
      </c>
    </row>
    <row r="22" spans="1:7" s="17" customFormat="1" x14ac:dyDescent="0.25">
      <c r="A22" s="29" t="s">
        <v>7</v>
      </c>
      <c r="B22" s="16">
        <v>164000</v>
      </c>
      <c r="C22" s="16">
        <v>164000</v>
      </c>
      <c r="D22" s="16">
        <v>16548.407999999999</v>
      </c>
      <c r="E22" s="16">
        <v>145697.10999999999</v>
      </c>
      <c r="F22" s="30">
        <f t="shared" si="0"/>
        <v>88.839701219512193</v>
      </c>
      <c r="G22" s="30">
        <v>113.8591531993181</v>
      </c>
    </row>
    <row r="23" spans="1:7" s="17" customFormat="1" x14ac:dyDescent="0.25">
      <c r="A23" s="29" t="s">
        <v>8</v>
      </c>
      <c r="B23" s="16">
        <f>+B21-B22</f>
        <v>246000</v>
      </c>
      <c r="C23" s="16">
        <f>+C21-C22</f>
        <v>246000</v>
      </c>
      <c r="D23" s="16">
        <f>+D21-D22</f>
        <v>15538.767</v>
      </c>
      <c r="E23" s="16">
        <f>+E21-E22</f>
        <v>134781.20600000001</v>
      </c>
      <c r="F23" s="30">
        <f t="shared" si="0"/>
        <v>54.789108130081303</v>
      </c>
      <c r="G23" s="30">
        <v>113.30963615515211</v>
      </c>
    </row>
    <row r="24" spans="1:7" x14ac:dyDescent="0.25">
      <c r="A24" s="28" t="s">
        <v>9</v>
      </c>
      <c r="B24" s="14">
        <v>240000</v>
      </c>
      <c r="C24" s="14">
        <v>240000</v>
      </c>
      <c r="D24" s="14">
        <v>19558.492999999999</v>
      </c>
      <c r="E24" s="14">
        <v>194370.72500000001</v>
      </c>
      <c r="F24" s="13">
        <f t="shared" si="0"/>
        <v>80.987802083333335</v>
      </c>
      <c r="G24" s="13">
        <v>107.15007341850222</v>
      </c>
    </row>
    <row r="25" spans="1:7" s="17" customFormat="1" x14ac:dyDescent="0.25">
      <c r="A25" s="29" t="s">
        <v>10</v>
      </c>
      <c r="B25" s="16">
        <v>80000</v>
      </c>
      <c r="C25" s="16">
        <v>80000</v>
      </c>
      <c r="D25" s="16">
        <v>4944.2579999999998</v>
      </c>
      <c r="E25" s="16">
        <v>35686.372000000003</v>
      </c>
      <c r="F25" s="13">
        <f t="shared" si="0"/>
        <v>44.607965000000007</v>
      </c>
      <c r="G25" s="13">
        <v>100.16393020685129</v>
      </c>
    </row>
    <row r="26" spans="1:7" x14ac:dyDescent="0.25">
      <c r="A26" s="28" t="s">
        <v>11</v>
      </c>
      <c r="B26" s="14">
        <v>620000</v>
      </c>
      <c r="C26" s="14">
        <v>620000</v>
      </c>
      <c r="D26" s="14">
        <v>19485.949000000001</v>
      </c>
      <c r="E26" s="14">
        <v>392309.75300000003</v>
      </c>
      <c r="F26" s="13">
        <f t="shared" si="0"/>
        <v>63.275766612903233</v>
      </c>
      <c r="G26" s="13">
        <v>143.015849006607</v>
      </c>
    </row>
    <row r="27" spans="1:7" x14ac:dyDescent="0.25">
      <c r="A27" s="28" t="s">
        <v>86</v>
      </c>
      <c r="B27" s="14"/>
      <c r="C27" s="14">
        <v>260000</v>
      </c>
      <c r="D27" s="14">
        <v>3804.4229999999998</v>
      </c>
      <c r="E27" s="14">
        <v>193015.22399999999</v>
      </c>
      <c r="F27" s="13">
        <f t="shared" si="0"/>
        <v>74.236624615384613</v>
      </c>
      <c r="G27" s="13">
        <v>259.26469627427593</v>
      </c>
    </row>
    <row r="28" spans="1:7" x14ac:dyDescent="0.25">
      <c r="A28" s="28" t="s">
        <v>87</v>
      </c>
      <c r="B28" s="14"/>
      <c r="C28" s="14">
        <f>+C26-C27</f>
        <v>360000</v>
      </c>
      <c r="D28" s="14">
        <f>+D26-D27</f>
        <v>15681.526000000002</v>
      </c>
      <c r="E28" s="14">
        <f>+E26-E27</f>
        <v>199294.52900000004</v>
      </c>
      <c r="F28" s="13">
        <f t="shared" si="0"/>
        <v>55.359591388888902</v>
      </c>
      <c r="G28" s="13">
        <v>99.714614742235369</v>
      </c>
    </row>
    <row r="29" spans="1:7" x14ac:dyDescent="0.25">
      <c r="A29" s="28" t="s">
        <v>12</v>
      </c>
      <c r="B29" s="14">
        <v>44000</v>
      </c>
      <c r="C29" s="14">
        <v>44000</v>
      </c>
      <c r="D29" s="14">
        <v>6345.2780000000002</v>
      </c>
      <c r="E29" s="14">
        <v>83451.803</v>
      </c>
      <c r="F29" s="13">
        <f t="shared" si="0"/>
        <v>189.66318863636363</v>
      </c>
      <c r="G29" s="13">
        <v>239.71681050992314</v>
      </c>
    </row>
    <row r="30" spans="1:7" x14ac:dyDescent="0.25">
      <c r="A30" s="28" t="s">
        <v>71</v>
      </c>
      <c r="B30" s="14">
        <v>6000</v>
      </c>
      <c r="C30" s="14">
        <v>6000</v>
      </c>
      <c r="D30" s="14">
        <v>448.36500000000001</v>
      </c>
      <c r="E30" s="14">
        <v>4333.6989999999996</v>
      </c>
      <c r="F30" s="13">
        <f t="shared" si="0"/>
        <v>72.228316666666657</v>
      </c>
      <c r="G30" s="13">
        <v>96.535076698814578</v>
      </c>
    </row>
    <row r="31" spans="1:7" x14ac:dyDescent="0.25">
      <c r="A31" s="28" t="s">
        <v>72</v>
      </c>
      <c r="B31" s="15">
        <f>+B32+B33</f>
        <v>290000</v>
      </c>
      <c r="C31" s="15">
        <f>+C32+C33</f>
        <v>290000</v>
      </c>
      <c r="D31" s="15">
        <f>+D32+D33</f>
        <v>25684.082000000002</v>
      </c>
      <c r="E31" s="15">
        <f>+E32+E33</f>
        <v>325219.21999999997</v>
      </c>
      <c r="F31" s="13">
        <f t="shared" si="0"/>
        <v>112.14455862068965</v>
      </c>
      <c r="G31" s="13">
        <v>118.87747983524672</v>
      </c>
    </row>
    <row r="32" spans="1:7" s="17" customFormat="1" x14ac:dyDescent="0.25">
      <c r="A32" s="29" t="s">
        <v>13</v>
      </c>
      <c r="B32" s="16">
        <v>100000</v>
      </c>
      <c r="C32" s="16">
        <v>100000</v>
      </c>
      <c r="D32" s="16">
        <v>11973.142</v>
      </c>
      <c r="E32" s="16">
        <v>116935.105</v>
      </c>
      <c r="F32" s="30">
        <f t="shared" si="0"/>
        <v>116.93510499999999</v>
      </c>
      <c r="G32" s="30">
        <v>116.5688131498156</v>
      </c>
    </row>
    <row r="33" spans="1:7" s="17" customFormat="1" x14ac:dyDescent="0.25">
      <c r="A33" s="29" t="s">
        <v>14</v>
      </c>
      <c r="B33" s="16">
        <v>190000</v>
      </c>
      <c r="C33" s="16">
        <v>190000</v>
      </c>
      <c r="D33" s="16">
        <f>13498.137+212.803</f>
        <v>13710.94</v>
      </c>
      <c r="E33" s="16">
        <f>203176.276+51.46+5056.379</f>
        <v>208284.11499999999</v>
      </c>
      <c r="F33" s="30">
        <f t="shared" si="0"/>
        <v>109.62321842105263</v>
      </c>
      <c r="G33" s="30">
        <v>120.21414675539435</v>
      </c>
    </row>
    <row r="34" spans="1:7" s="17" customFormat="1" hidden="1" x14ac:dyDescent="0.25">
      <c r="A34" s="29" t="s">
        <v>63</v>
      </c>
      <c r="B34" s="16">
        <v>10000</v>
      </c>
      <c r="C34" s="16">
        <v>10000</v>
      </c>
      <c r="D34" s="16"/>
      <c r="E34" s="16"/>
      <c r="F34" s="30"/>
      <c r="G34" s="30"/>
    </row>
    <row r="35" spans="1:7" x14ac:dyDescent="0.25">
      <c r="A35" s="28" t="s">
        <v>73</v>
      </c>
      <c r="B35" s="14">
        <v>35000</v>
      </c>
      <c r="C35" s="14">
        <v>35000</v>
      </c>
      <c r="D35" s="14">
        <v>34.476999999999997</v>
      </c>
      <c r="E35" s="14">
        <v>97472.34</v>
      </c>
      <c r="F35" s="13">
        <f t="shared" ref="F35:F41" si="1">+E35/C35%</f>
        <v>278.49239999999998</v>
      </c>
      <c r="G35" s="13">
        <v>310.82095898926394</v>
      </c>
    </row>
    <row r="36" spans="1:7" x14ac:dyDescent="0.25">
      <c r="A36" s="28" t="s">
        <v>74</v>
      </c>
      <c r="B36" s="14">
        <v>140000</v>
      </c>
      <c r="C36" s="14">
        <v>140000</v>
      </c>
      <c r="D36" s="14">
        <v>0</v>
      </c>
      <c r="E36" s="14">
        <v>123619.25900000001</v>
      </c>
      <c r="F36" s="13">
        <f t="shared" si="1"/>
        <v>88.299470714285718</v>
      </c>
      <c r="G36" s="13"/>
    </row>
    <row r="37" spans="1:7" x14ac:dyDescent="0.25">
      <c r="A37" s="28" t="s">
        <v>75</v>
      </c>
      <c r="B37" s="14">
        <v>1890000</v>
      </c>
      <c r="C37" s="14">
        <v>1890000</v>
      </c>
      <c r="D37" s="14">
        <v>104179.901</v>
      </c>
      <c r="E37" s="14">
        <v>1518532.2590000001</v>
      </c>
      <c r="F37" s="13">
        <f t="shared" si="1"/>
        <v>80.345622169312179</v>
      </c>
      <c r="G37" s="13">
        <v>121.06625199091454</v>
      </c>
    </row>
    <row r="38" spans="1:7" x14ac:dyDescent="0.25">
      <c r="A38" s="31" t="s">
        <v>37</v>
      </c>
      <c r="B38" s="12">
        <f>+B39+B45</f>
        <v>19931050</v>
      </c>
      <c r="C38" s="12">
        <f>+C39+C45</f>
        <v>20667713</v>
      </c>
      <c r="D38" s="12">
        <f>+D39+D45</f>
        <v>4903516.146333334</v>
      </c>
      <c r="E38" s="12">
        <f>+E39+E45</f>
        <v>13177522.205999997</v>
      </c>
      <c r="F38" s="11">
        <f t="shared" si="1"/>
        <v>63.75897616731951</v>
      </c>
      <c r="G38" s="11"/>
    </row>
    <row r="39" spans="1:7" x14ac:dyDescent="0.25">
      <c r="A39" s="32" t="s">
        <v>59</v>
      </c>
      <c r="B39" s="12">
        <f>+B41+B42+B43+B44</f>
        <v>15922056</v>
      </c>
      <c r="C39" s="12">
        <f>+C41+C42+C43+C44</f>
        <v>16658719</v>
      </c>
      <c r="D39" s="12">
        <f>+D41+D42+D43+D44</f>
        <v>4586167.9373333342</v>
      </c>
      <c r="E39" s="12">
        <f>+E41+E42+E43+E44</f>
        <v>10236956.121999998</v>
      </c>
      <c r="F39" s="11">
        <f t="shared" si="1"/>
        <v>61.451040275065552</v>
      </c>
      <c r="G39" s="13"/>
    </row>
    <row r="40" spans="1:7" x14ac:dyDescent="0.25">
      <c r="A40" s="72" t="s">
        <v>58</v>
      </c>
      <c r="B40" s="33">
        <f>+B39-B26-B37-B44</f>
        <v>13329856</v>
      </c>
      <c r="C40" s="33">
        <f>+C39-C26-C37-C44</f>
        <v>14051452</v>
      </c>
      <c r="D40" s="33">
        <f>+D39-D26-D37-D44</f>
        <v>4461857.0873333346</v>
      </c>
      <c r="E40" s="33">
        <f>+E39-E26-E37-E44</f>
        <v>8316787.1099999975</v>
      </c>
      <c r="F40" s="18">
        <f t="shared" si="1"/>
        <v>59.188097500528755</v>
      </c>
      <c r="G40" s="13"/>
    </row>
    <row r="41" spans="1:7" s="74" customFormat="1" x14ac:dyDescent="0.25">
      <c r="A41" s="34" t="s">
        <v>60</v>
      </c>
      <c r="B41" s="1">
        <v>6523000</v>
      </c>
      <c r="C41" s="1">
        <v>6523000</v>
      </c>
      <c r="D41" s="1">
        <v>402834.60400000005</v>
      </c>
      <c r="E41" s="1">
        <v>5208403.1219999986</v>
      </c>
      <c r="F41" s="13">
        <f t="shared" si="1"/>
        <v>79.846744166794394</v>
      </c>
      <c r="G41" s="13"/>
    </row>
    <row r="42" spans="1:7" s="74" customFormat="1" x14ac:dyDescent="0.25">
      <c r="A42" s="34" t="s">
        <v>88</v>
      </c>
      <c r="B42" s="2">
        <v>8816122</v>
      </c>
      <c r="C42" s="2">
        <v>8816122</v>
      </c>
      <c r="D42" s="2">
        <v>3673384.166666667</v>
      </c>
      <c r="E42" s="2">
        <v>4408061</v>
      </c>
      <c r="F42" s="13">
        <f>+E42/C42%</f>
        <v>50</v>
      </c>
      <c r="G42" s="19"/>
    </row>
    <row r="43" spans="1:7" s="74" customFormat="1" x14ac:dyDescent="0.25">
      <c r="A43" s="34" t="s">
        <v>77</v>
      </c>
      <c r="B43" s="2">
        <v>500734</v>
      </c>
      <c r="C43" s="2">
        <v>1222330</v>
      </c>
      <c r="D43" s="2">
        <v>509304.16666666663</v>
      </c>
      <c r="E43" s="2">
        <v>611165</v>
      </c>
      <c r="F43" s="13">
        <f>+E43/C43%</f>
        <v>50</v>
      </c>
      <c r="G43" s="19"/>
    </row>
    <row r="44" spans="1:7" s="74" customFormat="1" x14ac:dyDescent="0.25">
      <c r="A44" s="34" t="s">
        <v>61</v>
      </c>
      <c r="B44" s="2">
        <v>82200</v>
      </c>
      <c r="C44" s="2">
        <v>97267</v>
      </c>
      <c r="D44" s="15">
        <v>645</v>
      </c>
      <c r="E44" s="15">
        <v>9327</v>
      </c>
      <c r="F44" s="13">
        <f t="shared" ref="F44:F45" si="2">+E44/C44%</f>
        <v>9.5890692629566043</v>
      </c>
      <c r="G44" s="3"/>
    </row>
    <row r="45" spans="1:7" x14ac:dyDescent="0.25">
      <c r="A45" s="78" t="s">
        <v>62</v>
      </c>
      <c r="B45" s="5">
        <v>4008994</v>
      </c>
      <c r="C45" s="5">
        <v>4008994</v>
      </c>
      <c r="D45" s="5">
        <v>317348.20899999997</v>
      </c>
      <c r="E45" s="5">
        <v>2940566.0839999998</v>
      </c>
      <c r="F45" s="79">
        <f t="shared" si="2"/>
        <v>73.349226364519367</v>
      </c>
      <c r="G45" s="80"/>
    </row>
    <row r="46" spans="1:7" x14ac:dyDescent="0.25">
      <c r="C46" s="20"/>
      <c r="D46" s="20"/>
      <c r="E46" s="93"/>
    </row>
    <row r="47" spans="1:7" x14ac:dyDescent="0.25">
      <c r="D47" s="93"/>
      <c r="E47" s="93"/>
    </row>
    <row r="48" spans="1:7" x14ac:dyDescent="0.25">
      <c r="E48" s="93"/>
    </row>
    <row r="49" spans="5:5" x14ac:dyDescent="0.25">
      <c r="E49" s="20"/>
    </row>
  </sheetData>
  <mergeCells count="9">
    <mergeCell ref="A1:C1"/>
    <mergeCell ref="A5:A6"/>
    <mergeCell ref="B5:C5"/>
    <mergeCell ref="A2:G2"/>
    <mergeCell ref="A3:G3"/>
    <mergeCell ref="E5:E6"/>
    <mergeCell ref="F5:G5"/>
    <mergeCell ref="F4:G4"/>
    <mergeCell ref="D5:D6"/>
  </mergeCells>
  <phoneticPr fontId="4" type="noConversion"/>
  <pageMargins left="0.24" right="0.16" top="0.35" bottom="0.2" header="0.34" footer="0.3"/>
  <pageSetup scale="7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7"/>
  <sheetViews>
    <sheetView zoomScale="115" zoomScaleNormal="115" workbookViewId="0">
      <pane xSplit="1" ySplit="8" topLeftCell="B41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8.85546875" defaultRowHeight="15" x14ac:dyDescent="0.25"/>
  <cols>
    <col min="1" max="1" width="50.7109375" style="37" bestFit="1" customWidth="1"/>
    <col min="2" max="2" width="14.5703125" style="37" bestFit="1" customWidth="1"/>
    <col min="3" max="3" width="11.7109375" style="37" bestFit="1" customWidth="1"/>
    <col min="4" max="4" width="12.7109375" style="37" customWidth="1"/>
    <col min="5" max="5" width="9.140625" style="37" customWidth="1"/>
    <col min="6" max="6" width="9.140625" style="37" bestFit="1" customWidth="1"/>
    <col min="7" max="7" width="9.85546875" style="37" bestFit="1" customWidth="1"/>
    <col min="8" max="8" width="8.85546875" style="37"/>
    <col min="9" max="9" width="11.42578125" style="37" bestFit="1" customWidth="1"/>
    <col min="10" max="16384" width="8.85546875" style="37"/>
  </cols>
  <sheetData>
    <row r="1" spans="1:6" ht="16.5" x14ac:dyDescent="0.25">
      <c r="A1" s="150"/>
      <c r="B1" s="150"/>
      <c r="C1" s="140"/>
      <c r="D1" s="140"/>
      <c r="E1" s="140"/>
      <c r="F1" s="140"/>
    </row>
    <row r="2" spans="1:6" ht="16.5" x14ac:dyDescent="0.25">
      <c r="A2" s="150" t="s">
        <v>125</v>
      </c>
      <c r="B2" s="150"/>
      <c r="C2" s="150"/>
      <c r="D2" s="150"/>
      <c r="E2" s="150"/>
      <c r="F2" s="150"/>
    </row>
    <row r="3" spans="1:6" ht="16.5" x14ac:dyDescent="0.25">
      <c r="A3" s="134"/>
      <c r="B3" s="134"/>
      <c r="C3" s="135"/>
      <c r="D3" s="134"/>
      <c r="E3" s="134"/>
      <c r="F3" s="134"/>
    </row>
    <row r="4" spans="1:6" x14ac:dyDescent="0.25">
      <c r="A4" s="38"/>
      <c r="B4" s="39"/>
      <c r="C4" s="39"/>
      <c r="D4" s="40"/>
      <c r="E4" s="149" t="s">
        <v>0</v>
      </c>
      <c r="F4" s="149"/>
    </row>
    <row r="5" spans="1:6" ht="42.75" customHeight="1" x14ac:dyDescent="0.25">
      <c r="A5" s="151" t="s">
        <v>1</v>
      </c>
      <c r="B5" s="152" t="s">
        <v>83</v>
      </c>
      <c r="C5" s="152" t="s">
        <v>106</v>
      </c>
      <c r="D5" s="146" t="s">
        <v>123</v>
      </c>
      <c r="E5" s="154" t="s">
        <v>90</v>
      </c>
      <c r="F5" s="154"/>
    </row>
    <row r="6" spans="1:6" s="41" customFormat="1" ht="30" customHeight="1" x14ac:dyDescent="0.25">
      <c r="A6" s="151"/>
      <c r="B6" s="153"/>
      <c r="C6" s="153"/>
      <c r="D6" s="147"/>
      <c r="E6" s="141" t="s">
        <v>33</v>
      </c>
      <c r="F6" s="141" t="s">
        <v>35</v>
      </c>
    </row>
    <row r="7" spans="1:6" ht="15.75" x14ac:dyDescent="0.25">
      <c r="A7" s="42">
        <v>1</v>
      </c>
      <c r="B7" s="43">
        <v>2</v>
      </c>
      <c r="C7" s="43">
        <v>3</v>
      </c>
      <c r="D7" s="7">
        <v>4</v>
      </c>
      <c r="E7" s="7" t="s">
        <v>122</v>
      </c>
      <c r="F7" s="8">
        <v>6</v>
      </c>
    </row>
    <row r="8" spans="1:6" x14ac:dyDescent="0.25">
      <c r="A8" s="44" t="s">
        <v>56</v>
      </c>
      <c r="B8" s="45">
        <f>+B9+B42</f>
        <v>20667712.899999999</v>
      </c>
      <c r="C8" s="45">
        <f>+C9+C42</f>
        <v>1218705.1750779296</v>
      </c>
      <c r="D8" s="45">
        <f>+D9+D42</f>
        <v>11383960.002538249</v>
      </c>
      <c r="E8" s="46">
        <f>+D8/(B8)%</f>
        <v>55.080889006050832</v>
      </c>
      <c r="F8" s="46">
        <v>110.3321336870509</v>
      </c>
    </row>
    <row r="9" spans="1:6" s="50" customFormat="1" ht="14.25" x14ac:dyDescent="0.2">
      <c r="A9" s="47" t="s">
        <v>38</v>
      </c>
      <c r="B9" s="48">
        <f>+B10+B15+B38+B39+B40+B41</f>
        <v>16658718.899999999</v>
      </c>
      <c r="C9" s="48">
        <f>+C10+C15+C38+C39+C40+C41</f>
        <v>1075685.068</v>
      </c>
      <c r="D9" s="48">
        <f>+D10+D15+D38+D39+D40+D41</f>
        <v>8635241.8929999992</v>
      </c>
      <c r="E9" s="49">
        <f t="shared" ref="E9:E40" si="0">+D9/B9%</f>
        <v>51.83617026516967</v>
      </c>
      <c r="F9" s="49">
        <v>104.80945433885526</v>
      </c>
    </row>
    <row r="10" spans="1:6" s="50" customFormat="1" ht="14.25" x14ac:dyDescent="0.2">
      <c r="A10" s="51" t="s">
        <v>15</v>
      </c>
      <c r="B10" s="53">
        <f>+B11+B12+B13+B14</f>
        <v>3988941</v>
      </c>
      <c r="C10" s="53">
        <v>111505.19999999995</v>
      </c>
      <c r="D10" s="53">
        <v>1492901</v>
      </c>
      <c r="E10" s="49">
        <f t="shared" si="0"/>
        <v>37.425998529434253</v>
      </c>
      <c r="F10" s="49">
        <v>87.928522079586685</v>
      </c>
    </row>
    <row r="11" spans="1:6" hidden="1" x14ac:dyDescent="0.25">
      <c r="A11" s="54" t="s">
        <v>39</v>
      </c>
      <c r="B11" s="56">
        <v>1381674</v>
      </c>
      <c r="C11" s="56">
        <v>119783.46974</v>
      </c>
      <c r="D11" s="56">
        <v>332605.60662400001</v>
      </c>
      <c r="E11" s="57">
        <f t="shared" si="0"/>
        <v>24.072654376068453</v>
      </c>
      <c r="F11" s="57">
        <v>68.650905577776584</v>
      </c>
    </row>
    <row r="12" spans="1:6" hidden="1" x14ac:dyDescent="0.25">
      <c r="A12" s="54" t="s">
        <v>40</v>
      </c>
      <c r="B12" s="56">
        <v>620000</v>
      </c>
      <c r="C12" s="56">
        <v>44658.971994</v>
      </c>
      <c r="D12" s="56">
        <v>240457.178656</v>
      </c>
      <c r="E12" s="57">
        <f t="shared" si="0"/>
        <v>38.783415912258064</v>
      </c>
      <c r="F12" s="57">
        <v>109.77434773980303</v>
      </c>
    </row>
    <row r="13" spans="1:6" hidden="1" x14ac:dyDescent="0.25">
      <c r="A13" s="54" t="s">
        <v>41</v>
      </c>
      <c r="B13" s="56">
        <v>1890000</v>
      </c>
      <c r="C13" s="56">
        <v>361403.37009099999</v>
      </c>
      <c r="D13" s="56">
        <v>577514.18933199998</v>
      </c>
      <c r="E13" s="57">
        <f t="shared" si="0"/>
        <v>30.556306313862432</v>
      </c>
      <c r="F13" s="57">
        <v>60.206736215146556</v>
      </c>
    </row>
    <row r="14" spans="1:6" hidden="1" x14ac:dyDescent="0.25">
      <c r="A14" s="54" t="s">
        <v>42</v>
      </c>
      <c r="B14" s="56">
        <v>97267</v>
      </c>
      <c r="C14" s="56"/>
      <c r="D14" s="56">
        <v>7234.6650099999997</v>
      </c>
      <c r="E14" s="57">
        <f t="shared" si="0"/>
        <v>7.4379440200684712</v>
      </c>
      <c r="F14" s="57">
        <v>20.609324032012893</v>
      </c>
    </row>
    <row r="15" spans="1:6" s="50" customFormat="1" ht="14.25" x14ac:dyDescent="0.2">
      <c r="A15" s="58" t="s">
        <v>16</v>
      </c>
      <c r="B15" s="52">
        <f>+B16+B20+B29+B34+B35+B36+B37</f>
        <v>11695985.899999999</v>
      </c>
      <c r="C15" s="52">
        <f>+C16+C20+C29+C34+C35+C36+C37</f>
        <v>964179.86800000002</v>
      </c>
      <c r="D15" s="52">
        <f>+D16+D20+D29+D34+D35+D36+D37</f>
        <v>7138353.3669999996</v>
      </c>
      <c r="E15" s="49">
        <f t="shared" si="0"/>
        <v>61.032506605535502</v>
      </c>
      <c r="F15" s="49">
        <v>109.13021359286282</v>
      </c>
    </row>
    <row r="16" spans="1:6" s="50" customFormat="1" ht="14.25" x14ac:dyDescent="0.2">
      <c r="A16" s="59" t="s">
        <v>27</v>
      </c>
      <c r="B16" s="52">
        <f>+B17+B18+B19</f>
        <v>1248445</v>
      </c>
      <c r="C16" s="52">
        <f>+C17+C18+C19</f>
        <v>69178.475000000006</v>
      </c>
      <c r="D16" s="52">
        <f>+D17+D18+D19</f>
        <v>439841.23199999996</v>
      </c>
      <c r="E16" s="49">
        <f t="shared" si="0"/>
        <v>35.231126080844568</v>
      </c>
      <c r="F16" s="49">
        <v>84.896270931128655</v>
      </c>
    </row>
    <row r="17" spans="1:7" x14ac:dyDescent="0.25">
      <c r="A17" s="60" t="s">
        <v>17</v>
      </c>
      <c r="B17" s="55">
        <v>364045</v>
      </c>
      <c r="C17" s="55">
        <f>29778.381-5530.878</f>
        <v>24247.503000000001</v>
      </c>
      <c r="D17" s="55">
        <f>227686.437-16128.926</f>
        <v>211557.511</v>
      </c>
      <c r="E17" s="57">
        <f t="shared" si="0"/>
        <v>58.113011028856327</v>
      </c>
      <c r="F17" s="57">
        <v>78.910593614833701</v>
      </c>
      <c r="G17" s="37">
        <v>2790.346</v>
      </c>
    </row>
    <row r="18" spans="1:7" x14ac:dyDescent="0.25">
      <c r="A18" s="60" t="s">
        <v>18</v>
      </c>
      <c r="B18" s="55">
        <v>73530</v>
      </c>
      <c r="C18" s="55">
        <f>19923.742-194.212</f>
        <v>19729.53</v>
      </c>
      <c r="D18" s="55">
        <f>63656.691-448.641</f>
        <v>63208.049999999996</v>
      </c>
      <c r="E18" s="57">
        <f t="shared" si="0"/>
        <v>85.962260301917581</v>
      </c>
      <c r="F18" s="57">
        <v>93.569727274245281</v>
      </c>
    </row>
    <row r="19" spans="1:7" x14ac:dyDescent="0.25">
      <c r="A19" s="60" t="s">
        <v>36</v>
      </c>
      <c r="B19" s="55">
        <v>810870</v>
      </c>
      <c r="C19" s="55">
        <f>84162.679-C17-C18-5530.878-194.212-9259.114</f>
        <v>25201.44200000001</v>
      </c>
      <c r="D19" s="55">
        <f>480836.022-D17-D18-16128.926-448.641-24417.223</f>
        <v>165075.671</v>
      </c>
      <c r="E19" s="57">
        <f t="shared" si="0"/>
        <v>20.357846633862394</v>
      </c>
      <c r="F19" s="57">
        <v>90.480694088217462</v>
      </c>
      <c r="G19" s="71"/>
    </row>
    <row r="20" spans="1:7" x14ac:dyDescent="0.25">
      <c r="A20" s="59" t="s">
        <v>28</v>
      </c>
      <c r="B20" s="52">
        <f t="shared" ref="B20:D20" si="1">+B21+B22+B23+B24+B25+B26+B27+B28</f>
        <v>7453565.8999999994</v>
      </c>
      <c r="C20" s="52">
        <f t="shared" si="1"/>
        <v>651278.86300000001</v>
      </c>
      <c r="D20" s="52">
        <f t="shared" si="1"/>
        <v>4799276.8</v>
      </c>
      <c r="E20" s="49">
        <f t="shared" si="0"/>
        <v>64.389003389639313</v>
      </c>
      <c r="F20" s="49">
        <v>114.42536290243169</v>
      </c>
    </row>
    <row r="21" spans="1:7" x14ac:dyDescent="0.25">
      <c r="A21" s="60" t="s">
        <v>19</v>
      </c>
      <c r="B21" s="55">
        <v>5159568.5999999996</v>
      </c>
      <c r="C21" s="55">
        <f>496956.979-1422.313</f>
        <v>495534.66599999997</v>
      </c>
      <c r="D21" s="55">
        <f>3347498.315-4437.992</f>
        <v>3343060.3229999999</v>
      </c>
      <c r="E21" s="57">
        <f t="shared" si="0"/>
        <v>64.793407786069565</v>
      </c>
      <c r="F21" s="57">
        <v>118.02944154256819</v>
      </c>
    </row>
    <row r="22" spans="1:7" x14ac:dyDescent="0.25">
      <c r="A22" s="61" t="s">
        <v>20</v>
      </c>
      <c r="B22" s="55">
        <v>1025796</v>
      </c>
      <c r="C22" s="55">
        <f>42573.894-33.045</f>
        <v>42540.849000000002</v>
      </c>
      <c r="D22" s="55">
        <f>622946.938-155.408</f>
        <v>622791.52999999991</v>
      </c>
      <c r="E22" s="57">
        <f t="shared" si="0"/>
        <v>60.713000440633415</v>
      </c>
      <c r="F22" s="57">
        <v>113.59004925379303</v>
      </c>
    </row>
    <row r="23" spans="1:7" x14ac:dyDescent="0.25">
      <c r="A23" s="60" t="s">
        <v>43</v>
      </c>
      <c r="B23" s="55">
        <v>37983</v>
      </c>
      <c r="C23" s="55">
        <v>331.15300000000002</v>
      </c>
      <c r="D23" s="55">
        <v>17057.123</v>
      </c>
      <c r="E23" s="57">
        <f t="shared" si="0"/>
        <v>44.907255877629467</v>
      </c>
      <c r="F23" s="81">
        <v>102.52075914701325</v>
      </c>
    </row>
    <row r="24" spans="1:7" x14ac:dyDescent="0.25">
      <c r="A24" s="60" t="s">
        <v>44</v>
      </c>
      <c r="B24" s="55">
        <v>130923.3</v>
      </c>
      <c r="C24" s="55">
        <f>13707.15-2117.293</f>
        <v>11589.857</v>
      </c>
      <c r="D24" s="55">
        <f>100864.84-4992.372</f>
        <v>95872.467999999993</v>
      </c>
      <c r="E24" s="57">
        <f t="shared" si="0"/>
        <v>73.227964770212793</v>
      </c>
      <c r="F24" s="57">
        <v>105.22995550469115</v>
      </c>
    </row>
    <row r="25" spans="1:7" x14ac:dyDescent="0.25">
      <c r="A25" s="60" t="s">
        <v>45</v>
      </c>
      <c r="B25" s="55">
        <v>35160</v>
      </c>
      <c r="C25" s="55">
        <f>1010.823</f>
        <v>1010.823</v>
      </c>
      <c r="D25" s="55">
        <f>9999.073</f>
        <v>9999.0730000000003</v>
      </c>
      <c r="E25" s="57">
        <f t="shared" si="0"/>
        <v>28.438774175199089</v>
      </c>
      <c r="F25" s="57">
        <v>49.359966491348494</v>
      </c>
    </row>
    <row r="26" spans="1:7" x14ac:dyDescent="0.25">
      <c r="A26" s="60" t="s">
        <v>21</v>
      </c>
      <c r="B26" s="55">
        <v>130169</v>
      </c>
      <c r="C26" s="55">
        <f>8032.733</f>
        <v>8032.7330000000002</v>
      </c>
      <c r="D26" s="55">
        <f>74138.666</f>
        <v>74138.665999999997</v>
      </c>
      <c r="E26" s="57">
        <f t="shared" si="0"/>
        <v>56.955700666057197</v>
      </c>
      <c r="F26" s="57">
        <v>98.472961579659042</v>
      </c>
    </row>
    <row r="27" spans="1:7" x14ac:dyDescent="0.25">
      <c r="A27" s="60" t="s">
        <v>22</v>
      </c>
      <c r="B27" s="55">
        <v>847832</v>
      </c>
      <c r="C27" s="55">
        <f>92264.338-25.556</f>
        <v>92238.782000000007</v>
      </c>
      <c r="D27" s="55">
        <f>637947.573-1589.956</f>
        <v>636357.61699999997</v>
      </c>
      <c r="E27" s="57">
        <f t="shared" si="0"/>
        <v>75.057041607299553</v>
      </c>
      <c r="F27" s="57">
        <v>104.27378257420474</v>
      </c>
    </row>
    <row r="28" spans="1:7" hidden="1" x14ac:dyDescent="0.25">
      <c r="A28" s="60" t="s">
        <v>23</v>
      </c>
      <c r="B28" s="55">
        <v>86134</v>
      </c>
      <c r="C28" s="55"/>
      <c r="D28" s="55"/>
      <c r="E28" s="57">
        <f t="shared" si="0"/>
        <v>0</v>
      </c>
      <c r="F28" s="57"/>
    </row>
    <row r="29" spans="1:7" x14ac:dyDescent="0.25">
      <c r="A29" s="59" t="s">
        <v>29</v>
      </c>
      <c r="B29" s="52">
        <f>SUM(B30:B33)</f>
        <v>1806997</v>
      </c>
      <c r="C29" s="52">
        <f>169901.046-3049.834</f>
        <v>166851.212</v>
      </c>
      <c r="D29" s="52">
        <f>1299989.766-14849.341</f>
        <v>1285140.425</v>
      </c>
      <c r="E29" s="49">
        <f t="shared" si="0"/>
        <v>71.120230138732936</v>
      </c>
      <c r="F29" s="49">
        <v>105.95895716431616</v>
      </c>
      <c r="G29" s="37">
        <v>2720.0709999999999</v>
      </c>
    </row>
    <row r="30" spans="1:7" hidden="1" x14ac:dyDescent="0.25">
      <c r="A30" s="60" t="s">
        <v>46</v>
      </c>
      <c r="B30" s="55">
        <v>1038449</v>
      </c>
      <c r="C30" s="55">
        <f>971000+20000+49000</f>
        <v>1040000</v>
      </c>
      <c r="D30" s="55">
        <f>971000+20000+49000</f>
        <v>1040000</v>
      </c>
      <c r="E30" s="57">
        <f t="shared" si="0"/>
        <v>100.14935735890737</v>
      </c>
      <c r="F30" s="57" t="e">
        <v>#DIV/0!</v>
      </c>
    </row>
    <row r="31" spans="1:7" hidden="1" x14ac:dyDescent="0.25">
      <c r="A31" s="60" t="s">
        <v>47</v>
      </c>
      <c r="B31" s="55">
        <v>267181</v>
      </c>
      <c r="C31" s="55">
        <f>279000+10000+11000</f>
        <v>300000</v>
      </c>
      <c r="D31" s="55">
        <f>279000+10000+11000</f>
        <v>300000</v>
      </c>
      <c r="E31" s="57">
        <f t="shared" si="0"/>
        <v>112.28343332796868</v>
      </c>
      <c r="F31" s="57" t="e">
        <v>#DIV/0!</v>
      </c>
    </row>
    <row r="32" spans="1:7" hidden="1" x14ac:dyDescent="0.25">
      <c r="A32" s="60" t="s">
        <v>48</v>
      </c>
      <c r="B32" s="55">
        <v>374636</v>
      </c>
      <c r="C32" s="55">
        <f>334000+5000+11000</f>
        <v>350000</v>
      </c>
      <c r="D32" s="55">
        <f>334000+5000+11000</f>
        <v>350000</v>
      </c>
      <c r="E32" s="57">
        <f t="shared" si="0"/>
        <v>93.42401691241632</v>
      </c>
      <c r="F32" s="57" t="e">
        <v>#DIV/0!</v>
      </c>
    </row>
    <row r="33" spans="1:6" hidden="1" x14ac:dyDescent="0.25">
      <c r="A33" s="60" t="s">
        <v>49</v>
      </c>
      <c r="B33" s="55">
        <v>126731</v>
      </c>
      <c r="C33" s="55">
        <v>166000</v>
      </c>
      <c r="D33" s="55">
        <v>166000</v>
      </c>
      <c r="E33" s="57">
        <f t="shared" si="0"/>
        <v>130.98610442591001</v>
      </c>
      <c r="F33" s="57" t="e">
        <v>#DIV/0!</v>
      </c>
    </row>
    <row r="34" spans="1:6" x14ac:dyDescent="0.25">
      <c r="A34" s="59" t="s">
        <v>30</v>
      </c>
      <c r="B34" s="52">
        <v>418299</v>
      </c>
      <c r="C34" s="52">
        <f>44381.809+9662.162</f>
        <v>54043.971000000005</v>
      </c>
      <c r="D34" s="52">
        <f>357966.486+93422.793</f>
        <v>451389.27899999998</v>
      </c>
      <c r="E34" s="49">
        <f t="shared" si="0"/>
        <v>107.91067609532894</v>
      </c>
      <c r="F34" s="49">
        <v>126.62593504877246</v>
      </c>
    </row>
    <row r="35" spans="1:6" x14ac:dyDescent="0.25">
      <c r="A35" s="59" t="s">
        <v>31</v>
      </c>
      <c r="B35" s="52">
        <v>210957</v>
      </c>
      <c r="C35" s="52">
        <f>13878.88-897.407</f>
        <v>12981.473</v>
      </c>
      <c r="D35" s="52">
        <f>78636.684-4079.394</f>
        <v>74557.289999999994</v>
      </c>
      <c r="E35" s="49">
        <f t="shared" si="0"/>
        <v>35.342411012670823</v>
      </c>
      <c r="F35" s="49">
        <v>52.596217858687531</v>
      </c>
    </row>
    <row r="36" spans="1:6" x14ac:dyDescent="0.25">
      <c r="A36" s="59" t="s">
        <v>50</v>
      </c>
      <c r="B36" s="62">
        <f>485809+71913</f>
        <v>557722</v>
      </c>
      <c r="C36" s="62">
        <f>13044.806+163.661-3362.593</f>
        <v>9845.8739999999998</v>
      </c>
      <c r="D36" s="62">
        <f>88039.99+9204.06-9095.709</f>
        <v>88148.341</v>
      </c>
      <c r="E36" s="49">
        <f t="shared" si="0"/>
        <v>15.805067937072591</v>
      </c>
      <c r="F36" s="49">
        <v>74.88966565098282</v>
      </c>
    </row>
    <row r="37" spans="1:6" hidden="1" x14ac:dyDescent="0.25">
      <c r="A37" s="59" t="s">
        <v>64</v>
      </c>
      <c r="B37" s="62"/>
      <c r="C37" s="52"/>
      <c r="D37" s="52"/>
      <c r="E37" s="49" t="e">
        <f t="shared" si="0"/>
        <v>#DIV/0!</v>
      </c>
      <c r="F37" s="49" t="e">
        <v>#DIV/0!</v>
      </c>
    </row>
    <row r="38" spans="1:6" ht="29.25" x14ac:dyDescent="0.25">
      <c r="A38" s="76" t="s">
        <v>76</v>
      </c>
      <c r="B38" s="62">
        <v>11500</v>
      </c>
      <c r="C38" s="62">
        <v>0</v>
      </c>
      <c r="D38" s="62">
        <v>3987.5259999999998</v>
      </c>
      <c r="E38" s="49">
        <f t="shared" si="0"/>
        <v>34.674139130434781</v>
      </c>
      <c r="F38" s="49"/>
    </row>
    <row r="39" spans="1:6" x14ac:dyDescent="0.25">
      <c r="A39" s="59" t="s">
        <v>57</v>
      </c>
      <c r="B39" s="64">
        <v>1170</v>
      </c>
      <c r="C39" s="64">
        <v>0</v>
      </c>
      <c r="D39" s="64">
        <v>0</v>
      </c>
      <c r="E39" s="49">
        <f t="shared" si="0"/>
        <v>0</v>
      </c>
      <c r="F39" s="49"/>
    </row>
    <row r="40" spans="1:6" x14ac:dyDescent="0.25">
      <c r="A40" s="65" t="s">
        <v>32</v>
      </c>
      <c r="B40" s="64">
        <v>336034</v>
      </c>
      <c r="C40" s="64">
        <v>0</v>
      </c>
      <c r="D40" s="64">
        <v>0</v>
      </c>
      <c r="E40" s="49">
        <f t="shared" si="0"/>
        <v>0</v>
      </c>
      <c r="F40" s="49"/>
    </row>
    <row r="41" spans="1:6" x14ac:dyDescent="0.25">
      <c r="A41" s="59" t="s">
        <v>80</v>
      </c>
      <c r="B41" s="62">
        <v>625088</v>
      </c>
      <c r="C41" s="62"/>
      <c r="D41" s="62"/>
      <c r="E41" s="49"/>
      <c r="F41" s="49"/>
    </row>
    <row r="42" spans="1:6" x14ac:dyDescent="0.25">
      <c r="A42" s="66" t="s">
        <v>51</v>
      </c>
      <c r="B42" s="64">
        <f>+B43+B44+B45</f>
        <v>4008994</v>
      </c>
      <c r="C42" s="64">
        <f>+C43+C44+C45</f>
        <v>143020.10707792977</v>
      </c>
      <c r="D42" s="64">
        <f>+D43+D44+D45</f>
        <v>2748718.1095382497</v>
      </c>
      <c r="E42" s="49">
        <f>+D42/B42%</f>
        <v>68.563787063244533</v>
      </c>
      <c r="F42" s="49">
        <v>132.2192388795479</v>
      </c>
    </row>
    <row r="43" spans="1:6" s="50" customFormat="1" x14ac:dyDescent="0.25">
      <c r="A43" s="67" t="s">
        <v>52</v>
      </c>
      <c r="B43" s="63">
        <v>3329510</v>
      </c>
      <c r="C43" s="63">
        <v>73233.639140729792</v>
      </c>
      <c r="D43" s="63">
        <v>2386921.3807697496</v>
      </c>
      <c r="E43" s="57">
        <f>+D43/B43%</f>
        <v>71.689869703642572</v>
      </c>
      <c r="F43" s="57"/>
    </row>
    <row r="44" spans="1:6" s="50" customFormat="1" x14ac:dyDescent="0.25">
      <c r="A44" s="67" t="s">
        <v>55</v>
      </c>
      <c r="B44" s="63">
        <v>70473</v>
      </c>
      <c r="C44" s="63">
        <v>5872.75</v>
      </c>
      <c r="D44" s="63">
        <v>46982</v>
      </c>
      <c r="E44" s="57">
        <f>+D44/B44%</f>
        <v>66.666666666666671</v>
      </c>
      <c r="F44" s="57"/>
    </row>
    <row r="45" spans="1:6" s="50" customFormat="1" ht="15.75" x14ac:dyDescent="0.25">
      <c r="A45" s="34" t="s">
        <v>81</v>
      </c>
      <c r="B45" s="63">
        <f>+B46+B47</f>
        <v>609011</v>
      </c>
      <c r="C45" s="63">
        <f>+C46+C47</f>
        <v>63913.717937199966</v>
      </c>
      <c r="D45" s="63">
        <f>+D46+D47</f>
        <v>314814.72876849998</v>
      </c>
      <c r="E45" s="57">
        <f t="shared" ref="E45:E47" si="2">+D45/B45%</f>
        <v>51.692782029963332</v>
      </c>
      <c r="F45" s="57"/>
    </row>
    <row r="46" spans="1:6" s="50" customFormat="1" ht="15.75" x14ac:dyDescent="0.25">
      <c r="A46" s="3" t="s">
        <v>78</v>
      </c>
      <c r="B46" s="73">
        <v>356782</v>
      </c>
      <c r="C46" s="63">
        <v>38021.471937199967</v>
      </c>
      <c r="D46" s="63">
        <v>234619.76376849998</v>
      </c>
      <c r="E46" s="57">
        <f t="shared" si="2"/>
        <v>65.759977736685144</v>
      </c>
      <c r="F46" s="57"/>
    </row>
    <row r="47" spans="1:6" s="50" customFormat="1" ht="15.75" x14ac:dyDescent="0.25">
      <c r="A47" s="4" t="s">
        <v>79</v>
      </c>
      <c r="B47" s="77">
        <v>252229</v>
      </c>
      <c r="C47" s="68">
        <v>25892.245999999999</v>
      </c>
      <c r="D47" s="68">
        <v>80194.964999999997</v>
      </c>
      <c r="E47" s="69">
        <f t="shared" si="2"/>
        <v>31.794506182873498</v>
      </c>
      <c r="F47" s="70"/>
    </row>
  </sheetData>
  <mergeCells count="8">
    <mergeCell ref="A1:B1"/>
    <mergeCell ref="A2:F2"/>
    <mergeCell ref="E4:F4"/>
    <mergeCell ref="A5:A6"/>
    <mergeCell ref="B5:B6"/>
    <mergeCell ref="C5:C6"/>
    <mergeCell ref="D5:D6"/>
    <mergeCell ref="E5:F5"/>
  </mergeCells>
  <pageMargins left="0.38" right="0.26" top="0.49" bottom="0.28999999999999998" header="0.51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48"/>
  <sheetViews>
    <sheetView workbookViewId="0">
      <pane xSplit="9" ySplit="7" topLeftCell="J8" activePane="bottomRight" state="frozen"/>
      <selection pane="topRight" activeCell="K1" sqref="K1"/>
      <selection pane="bottomLeft" activeCell="A8" sqref="A8"/>
      <selection pane="bottomRight" activeCell="D17" sqref="D17"/>
    </sheetView>
  </sheetViews>
  <sheetFormatPr defaultRowHeight="15" x14ac:dyDescent="0.25"/>
  <cols>
    <col min="1" max="1" width="51.140625" style="108" bestFit="1" customWidth="1"/>
    <col min="2" max="2" width="13.5703125" style="108" bestFit="1" customWidth="1"/>
    <col min="3" max="3" width="11.5703125" style="108" customWidth="1"/>
    <col min="4" max="4" width="12.7109375" style="108" bestFit="1" customWidth="1"/>
    <col min="5" max="5" width="8.7109375" style="108" bestFit="1" customWidth="1"/>
    <col min="6" max="6" width="12.7109375" style="108" bestFit="1" customWidth="1"/>
    <col min="7" max="7" width="11.42578125" style="108" customWidth="1"/>
    <col min="8" max="8" width="12.28515625" style="108" bestFit="1" customWidth="1"/>
    <col min="9" max="9" width="8.7109375" style="108" bestFit="1" customWidth="1"/>
    <col min="10" max="10" width="12.140625" style="108" bestFit="1" customWidth="1"/>
    <col min="11" max="11" width="11.5703125" style="108" bestFit="1" customWidth="1"/>
    <col min="12" max="12" width="12.140625" style="108" bestFit="1" customWidth="1"/>
    <col min="13" max="13" width="10" style="108" bestFit="1" customWidth="1"/>
    <col min="14" max="14" width="11.7109375" style="108" bestFit="1" customWidth="1"/>
    <col min="15" max="15" width="10.5703125" style="108" bestFit="1" customWidth="1"/>
    <col min="16" max="16" width="11.7109375" style="108" bestFit="1" customWidth="1"/>
    <col min="17" max="17" width="11.5703125" style="108" bestFit="1" customWidth="1"/>
    <col min="18" max="18" width="10.7109375" style="108" bestFit="1" customWidth="1"/>
    <col min="19" max="19" width="10.5703125" style="108" bestFit="1" customWidth="1"/>
    <col min="20" max="20" width="10.85546875" style="108" bestFit="1" customWidth="1"/>
    <col min="21" max="21" width="10.5703125" style="108" bestFit="1" customWidth="1"/>
    <col min="22" max="22" width="10.7109375" style="108" bestFit="1" customWidth="1"/>
    <col min="23" max="23" width="10.5703125" style="108" bestFit="1" customWidth="1"/>
    <col min="24" max="24" width="10" style="108" customWidth="1"/>
    <col min="25" max="25" width="11.7109375" style="108" bestFit="1" customWidth="1"/>
    <col min="26" max="26" width="12.140625" style="108" bestFit="1" customWidth="1"/>
    <col min="27" max="27" width="10.5703125" style="108" bestFit="1" customWidth="1"/>
    <col min="28" max="28" width="10" style="108" customWidth="1"/>
    <col min="29" max="29" width="11.7109375" style="108" bestFit="1" customWidth="1"/>
    <col min="30" max="30" width="10.7109375" style="108" bestFit="1" customWidth="1"/>
    <col min="31" max="31" width="10.5703125" style="108" bestFit="1" customWidth="1"/>
    <col min="32" max="32" width="10.7109375" style="108" customWidth="1"/>
    <col min="33" max="33" width="10.140625" style="108" bestFit="1" customWidth="1"/>
    <col min="34" max="34" width="10.7109375" style="108" bestFit="1" customWidth="1"/>
    <col min="35" max="35" width="10.5703125" style="108" bestFit="1" customWidth="1"/>
    <col min="36" max="36" width="12.140625" style="108" bestFit="1" customWidth="1"/>
    <col min="37" max="37" width="10.140625" style="108" bestFit="1" customWidth="1"/>
    <col min="38" max="38" width="10.7109375" style="108" bestFit="1" customWidth="1"/>
    <col min="39" max="39" width="10.5703125" style="108" bestFit="1" customWidth="1"/>
    <col min="40" max="40" width="11.28515625" style="108" bestFit="1" customWidth="1"/>
    <col min="41" max="41" width="11.7109375" style="108" bestFit="1" customWidth="1"/>
    <col min="42" max="42" width="10.7109375" style="108" bestFit="1" customWidth="1"/>
    <col min="43" max="43" width="10.5703125" style="108" bestFit="1" customWidth="1"/>
    <col min="44" max="44" width="10.85546875" style="108" bestFit="1" customWidth="1"/>
    <col min="45" max="45" width="11.7109375" style="108" bestFit="1" customWidth="1"/>
    <col min="46" max="46" width="10.7109375" style="108" bestFit="1" customWidth="1"/>
    <col min="47" max="47" width="10.5703125" style="108" bestFit="1" customWidth="1"/>
    <col min="48" max="48" width="11.7109375" style="108" bestFit="1" customWidth="1"/>
    <col min="49" max="49" width="11.140625" style="108" bestFit="1" customWidth="1"/>
    <col min="50" max="50" width="10.7109375" style="108" bestFit="1" customWidth="1"/>
    <col min="51" max="51" width="10.5703125" style="108" bestFit="1" customWidth="1"/>
    <col min="52" max="52" width="11.7109375" style="108" bestFit="1" customWidth="1"/>
    <col min="53" max="53" width="11" style="108" bestFit="1" customWidth="1"/>
    <col min="54" max="54" width="10.42578125" style="108" customWidth="1"/>
    <col min="55" max="55" width="10.5703125" style="108" bestFit="1" customWidth="1"/>
    <col min="56" max="56" width="10.140625" style="108" customWidth="1"/>
    <col min="57" max="57" width="11.7109375" style="108" bestFit="1" customWidth="1"/>
    <col min="58" max="16384" width="9.140625" style="108"/>
  </cols>
  <sheetData>
    <row r="1" spans="1:57" s="108" customFormat="1" ht="4.9000000000000004" customHeight="1" x14ac:dyDescent="0.3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57" s="108" customFormat="1" ht="18.75" x14ac:dyDescent="0.3">
      <c r="A2" s="156"/>
      <c r="B2" s="155" t="s">
        <v>126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156"/>
      <c r="P2" s="156"/>
      <c r="Q2" s="156"/>
      <c r="R2" s="156"/>
      <c r="S2" s="156"/>
      <c r="T2" s="156"/>
      <c r="U2" s="156"/>
    </row>
    <row r="3" spans="1:57" s="108" customFormat="1" ht="18.75" x14ac:dyDescent="0.3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</row>
    <row r="4" spans="1:57" s="108" customFormat="1" ht="14.45" customHeight="1" x14ac:dyDescent="0.25">
      <c r="A4" s="157"/>
      <c r="B4" s="158"/>
      <c r="C4" s="158"/>
      <c r="D4" s="159"/>
      <c r="E4" s="160"/>
      <c r="F4" s="159"/>
      <c r="G4" s="161"/>
      <c r="H4" s="162"/>
      <c r="J4" s="163"/>
      <c r="K4" s="164" t="s">
        <v>0</v>
      </c>
      <c r="L4" s="164"/>
      <c r="M4" s="164"/>
      <c r="N4" s="165"/>
      <c r="O4" s="165"/>
      <c r="P4" s="166"/>
      <c r="Q4" s="166"/>
      <c r="R4" s="167"/>
      <c r="S4" s="167"/>
      <c r="T4" s="167"/>
      <c r="U4" s="167"/>
      <c r="Z4" s="159"/>
      <c r="AA4" s="159"/>
    </row>
    <row r="5" spans="1:57" s="109" customFormat="1" x14ac:dyDescent="0.25">
      <c r="A5" s="168" t="s">
        <v>1</v>
      </c>
      <c r="B5" s="169" t="s">
        <v>91</v>
      </c>
      <c r="C5" s="169"/>
      <c r="D5" s="169"/>
      <c r="E5" s="169"/>
      <c r="F5" s="169" t="s">
        <v>92</v>
      </c>
      <c r="G5" s="169"/>
      <c r="H5" s="169"/>
      <c r="I5" s="169"/>
      <c r="J5" s="169" t="s">
        <v>93</v>
      </c>
      <c r="K5" s="169"/>
      <c r="L5" s="169"/>
      <c r="M5" s="169"/>
      <c r="N5" s="169" t="s">
        <v>94</v>
      </c>
      <c r="O5" s="169"/>
      <c r="P5" s="169"/>
      <c r="Q5" s="169"/>
      <c r="R5" s="169" t="s">
        <v>95</v>
      </c>
      <c r="S5" s="169"/>
      <c r="T5" s="169"/>
      <c r="U5" s="169"/>
      <c r="V5" s="169" t="s">
        <v>96</v>
      </c>
      <c r="W5" s="169"/>
      <c r="X5" s="169"/>
      <c r="Y5" s="169"/>
      <c r="Z5" s="169" t="s">
        <v>97</v>
      </c>
      <c r="AA5" s="169"/>
      <c r="AB5" s="169"/>
      <c r="AC5" s="169"/>
      <c r="AD5" s="169" t="s">
        <v>98</v>
      </c>
      <c r="AE5" s="169"/>
      <c r="AF5" s="169"/>
      <c r="AG5" s="169"/>
      <c r="AH5" s="169" t="s">
        <v>99</v>
      </c>
      <c r="AI5" s="169"/>
      <c r="AJ5" s="169"/>
      <c r="AK5" s="169"/>
      <c r="AL5" s="169" t="s">
        <v>100</v>
      </c>
      <c r="AM5" s="169"/>
      <c r="AN5" s="169"/>
      <c r="AO5" s="169"/>
      <c r="AP5" s="169" t="s">
        <v>101</v>
      </c>
      <c r="AQ5" s="169"/>
      <c r="AR5" s="169"/>
      <c r="AS5" s="169"/>
      <c r="AT5" s="169" t="s">
        <v>102</v>
      </c>
      <c r="AU5" s="169"/>
      <c r="AV5" s="169"/>
      <c r="AW5" s="169"/>
      <c r="AX5" s="169" t="s">
        <v>103</v>
      </c>
      <c r="AY5" s="169"/>
      <c r="AZ5" s="169"/>
      <c r="BA5" s="169"/>
      <c r="BB5" s="169" t="s">
        <v>104</v>
      </c>
      <c r="BC5" s="169"/>
      <c r="BD5" s="169"/>
      <c r="BE5" s="169"/>
    </row>
    <row r="6" spans="1:57" s="109" customFormat="1" ht="42.75" x14ac:dyDescent="0.25">
      <c r="A6" s="168"/>
      <c r="B6" s="170" t="s">
        <v>105</v>
      </c>
      <c r="C6" s="171" t="s">
        <v>106</v>
      </c>
      <c r="D6" s="171" t="s">
        <v>123</v>
      </c>
      <c r="E6" s="172" t="s">
        <v>107</v>
      </c>
      <c r="F6" s="170" t="s">
        <v>105</v>
      </c>
      <c r="G6" s="171" t="s">
        <v>106</v>
      </c>
      <c r="H6" s="171" t="s">
        <v>123</v>
      </c>
      <c r="I6" s="172" t="s">
        <v>107</v>
      </c>
      <c r="J6" s="170" t="s">
        <v>105</v>
      </c>
      <c r="K6" s="171" t="s">
        <v>106</v>
      </c>
      <c r="L6" s="171" t="s">
        <v>123</v>
      </c>
      <c r="M6" s="172" t="s">
        <v>107</v>
      </c>
      <c r="N6" s="170" t="s">
        <v>105</v>
      </c>
      <c r="O6" s="171" t="s">
        <v>106</v>
      </c>
      <c r="P6" s="171" t="s">
        <v>123</v>
      </c>
      <c r="Q6" s="172" t="s">
        <v>107</v>
      </c>
      <c r="R6" s="170" t="s">
        <v>105</v>
      </c>
      <c r="S6" s="171" t="s">
        <v>106</v>
      </c>
      <c r="T6" s="171" t="s">
        <v>123</v>
      </c>
      <c r="U6" s="172" t="s">
        <v>107</v>
      </c>
      <c r="V6" s="170" t="s">
        <v>105</v>
      </c>
      <c r="W6" s="171" t="s">
        <v>106</v>
      </c>
      <c r="X6" s="171" t="s">
        <v>123</v>
      </c>
      <c r="Y6" s="172" t="s">
        <v>107</v>
      </c>
      <c r="Z6" s="170" t="s">
        <v>105</v>
      </c>
      <c r="AA6" s="171" t="s">
        <v>106</v>
      </c>
      <c r="AB6" s="171" t="s">
        <v>123</v>
      </c>
      <c r="AC6" s="172" t="s">
        <v>107</v>
      </c>
      <c r="AD6" s="170" t="s">
        <v>105</v>
      </c>
      <c r="AE6" s="171" t="s">
        <v>106</v>
      </c>
      <c r="AF6" s="171" t="s">
        <v>123</v>
      </c>
      <c r="AG6" s="172" t="s">
        <v>107</v>
      </c>
      <c r="AH6" s="170" t="s">
        <v>105</v>
      </c>
      <c r="AI6" s="171" t="s">
        <v>106</v>
      </c>
      <c r="AJ6" s="171" t="s">
        <v>123</v>
      </c>
      <c r="AK6" s="172" t="s">
        <v>107</v>
      </c>
      <c r="AL6" s="170" t="s">
        <v>105</v>
      </c>
      <c r="AM6" s="171" t="s">
        <v>106</v>
      </c>
      <c r="AN6" s="171" t="s">
        <v>123</v>
      </c>
      <c r="AO6" s="172" t="s">
        <v>107</v>
      </c>
      <c r="AP6" s="170" t="s">
        <v>105</v>
      </c>
      <c r="AQ6" s="171" t="s">
        <v>106</v>
      </c>
      <c r="AR6" s="171" t="s">
        <v>123</v>
      </c>
      <c r="AS6" s="172" t="s">
        <v>107</v>
      </c>
      <c r="AT6" s="170" t="s">
        <v>105</v>
      </c>
      <c r="AU6" s="171" t="s">
        <v>106</v>
      </c>
      <c r="AV6" s="171" t="s">
        <v>123</v>
      </c>
      <c r="AW6" s="172" t="s">
        <v>107</v>
      </c>
      <c r="AX6" s="170" t="s">
        <v>105</v>
      </c>
      <c r="AY6" s="171" t="s">
        <v>106</v>
      </c>
      <c r="AZ6" s="171" t="s">
        <v>123</v>
      </c>
      <c r="BA6" s="172" t="s">
        <v>107</v>
      </c>
      <c r="BB6" s="170" t="s">
        <v>105</v>
      </c>
      <c r="BC6" s="171" t="s">
        <v>106</v>
      </c>
      <c r="BD6" s="171" t="s">
        <v>123</v>
      </c>
      <c r="BE6" s="172" t="s">
        <v>107</v>
      </c>
    </row>
    <row r="7" spans="1:57" s="108" customFormat="1" ht="15" customHeight="1" x14ac:dyDescent="0.25">
      <c r="A7" s="173" t="s">
        <v>108</v>
      </c>
      <c r="B7" s="174">
        <f>+B8+B9</f>
        <v>7197000</v>
      </c>
      <c r="C7" s="174">
        <f>+C8+C9</f>
        <v>470644.114</v>
      </c>
      <c r="D7" s="174">
        <f>+D8+D9</f>
        <v>5896987.5290000001</v>
      </c>
      <c r="E7" s="175">
        <f>D7/B7%</f>
        <v>81.93674487981103</v>
      </c>
      <c r="F7" s="174">
        <f>+B7-J7</f>
        <v>5138353</v>
      </c>
      <c r="G7" s="174">
        <f>+C7-K7</f>
        <v>284338.79399999999</v>
      </c>
      <c r="H7" s="174">
        <f>+D7-L7</f>
        <v>4053870.7010000004</v>
      </c>
      <c r="I7" s="176">
        <f>H7/F7%</f>
        <v>78.89435974912584</v>
      </c>
      <c r="J7" s="174">
        <f>+N7+R7+V7+Z7+AD7+AH7+AL7+AP7+AT7+AX7+BB7</f>
        <v>2058647</v>
      </c>
      <c r="K7" s="174">
        <f>+O7+S7+W7+AA7+AE7+AI7+AM7+AQ7+AU7+AY7+BC7</f>
        <v>186305.32</v>
      </c>
      <c r="L7" s="174">
        <f>+P7+T7+X7+AB7+AF7+AJ7+AN7+AR7+AV7+AZ7+BD7</f>
        <v>1843116.8279999997</v>
      </c>
      <c r="M7" s="175">
        <f>L7/J7%</f>
        <v>89.530493960353553</v>
      </c>
      <c r="N7" s="174">
        <f>+N8+N9</f>
        <v>892000</v>
      </c>
      <c r="O7" s="174">
        <f>+O8+O9</f>
        <v>51234.219000000005</v>
      </c>
      <c r="P7" s="174">
        <f>+P8+P9</f>
        <v>615658.61899999995</v>
      </c>
      <c r="Q7" s="176">
        <f>P7/N7%</f>
        <v>69.020024551569506</v>
      </c>
      <c r="R7" s="174">
        <f>+R8+R9</f>
        <v>164800</v>
      </c>
      <c r="S7" s="174">
        <f>+S8+S9</f>
        <v>17130.810000000001</v>
      </c>
      <c r="T7" s="174">
        <f>+T8+T9</f>
        <v>183213.88</v>
      </c>
      <c r="U7" s="176">
        <f>T7/R7%</f>
        <v>111.17347087378641</v>
      </c>
      <c r="V7" s="174">
        <f>+V8+V9</f>
        <v>129000</v>
      </c>
      <c r="W7" s="174">
        <f>+W8+W9</f>
        <v>11257.369999999999</v>
      </c>
      <c r="X7" s="174">
        <f>+X8+X9</f>
        <v>145165.65600000002</v>
      </c>
      <c r="Y7" s="176">
        <f>X7/V7%</f>
        <v>112.53151627906978</v>
      </c>
      <c r="Z7" s="174">
        <f>+Z8+Z9</f>
        <v>175237</v>
      </c>
      <c r="AA7" s="174">
        <f>+AA8+AA9</f>
        <v>22332.077999999998</v>
      </c>
      <c r="AB7" s="174">
        <f>+AB8+AB9</f>
        <v>188825.628</v>
      </c>
      <c r="AC7" s="176">
        <f>AB7/Z7%</f>
        <v>107.75442857387425</v>
      </c>
      <c r="AD7" s="174">
        <f>+AD8+AD9</f>
        <v>114400</v>
      </c>
      <c r="AE7" s="174">
        <f>+AE8+AE9</f>
        <v>17326.477999999999</v>
      </c>
      <c r="AF7" s="174">
        <f>+AF8+AF9</f>
        <v>121288.46700000002</v>
      </c>
      <c r="AG7" s="176">
        <f>AF7/AD7%</f>
        <v>106.02138723776226</v>
      </c>
      <c r="AH7" s="174">
        <f>+AH8+AH9</f>
        <v>108450</v>
      </c>
      <c r="AI7" s="174">
        <f>+AI8+AI9</f>
        <v>14467.108000000002</v>
      </c>
      <c r="AJ7" s="174">
        <f>+AJ8+AJ9</f>
        <v>113692.23999999999</v>
      </c>
      <c r="AK7" s="176">
        <f>AJ7/AH7%</f>
        <v>104.83378515444905</v>
      </c>
      <c r="AL7" s="174">
        <f>+AL8+AL9</f>
        <v>91360</v>
      </c>
      <c r="AM7" s="174">
        <f>+AM8+AM9</f>
        <v>10275.751</v>
      </c>
      <c r="AN7" s="174">
        <f>+AN8+AN9</f>
        <v>87667.637999999992</v>
      </c>
      <c r="AO7" s="176">
        <f>AN7/AL7%</f>
        <v>95.958447898423813</v>
      </c>
      <c r="AP7" s="174">
        <f>+AP8+AP9</f>
        <v>104700</v>
      </c>
      <c r="AQ7" s="174">
        <f>+AQ8+AQ9</f>
        <v>13215.986000000001</v>
      </c>
      <c r="AR7" s="174">
        <f>+AR8+AR9</f>
        <v>105886.02499999999</v>
      </c>
      <c r="AS7" s="176">
        <f>AR7/AP7%</f>
        <v>101.13278414517669</v>
      </c>
      <c r="AT7" s="174">
        <f>+AT8+AT9</f>
        <v>119300</v>
      </c>
      <c r="AU7" s="174">
        <f>+AU8+AU9</f>
        <v>12655.698</v>
      </c>
      <c r="AV7" s="174">
        <f>+AV8+AV9</f>
        <v>122862.70099999999</v>
      </c>
      <c r="AW7" s="176">
        <f>AV7/AT7%</f>
        <v>102.98633780385582</v>
      </c>
      <c r="AX7" s="174">
        <f>+AX8+AX9</f>
        <v>86800</v>
      </c>
      <c r="AY7" s="174">
        <f>+AY8+AY9</f>
        <v>8219.7870000000003</v>
      </c>
      <c r="AZ7" s="174">
        <f>+AZ8+AZ9</f>
        <v>78968.549999999988</v>
      </c>
      <c r="BA7" s="176">
        <f>AZ7/AX7%</f>
        <v>90.977592165898599</v>
      </c>
      <c r="BB7" s="174">
        <f>+BB8+BB9</f>
        <v>72600</v>
      </c>
      <c r="BC7" s="174">
        <f>+BC8+BC9</f>
        <v>8190.0349999999999</v>
      </c>
      <c r="BD7" s="174">
        <f>+BD8+BD9</f>
        <v>79887.423999999999</v>
      </c>
      <c r="BE7" s="176">
        <f>BD7/BB7%</f>
        <v>110.03777410468319</v>
      </c>
    </row>
    <row r="8" spans="1:57" s="108" customFormat="1" x14ac:dyDescent="0.25">
      <c r="A8" s="106" t="s">
        <v>24</v>
      </c>
      <c r="B8" s="86">
        <v>330000</v>
      </c>
      <c r="C8" s="86">
        <v>34343.701999999997</v>
      </c>
      <c r="D8" s="86">
        <v>390118.84</v>
      </c>
      <c r="E8" s="87">
        <f t="shared" ref="E8:E47" si="0">D8/B8%</f>
        <v>118.21783030303031</v>
      </c>
      <c r="F8" s="86">
        <f t="shared" ref="F8:F48" si="1">+B8-J8</f>
        <v>330000</v>
      </c>
      <c r="G8" s="86">
        <f t="shared" ref="G8:G48" si="2">+C8-K8</f>
        <v>34343.701999999997</v>
      </c>
      <c r="H8" s="86">
        <f t="shared" ref="H8:H48" si="3">+D8-L8</f>
        <v>390118.84</v>
      </c>
      <c r="I8" s="177">
        <f t="shared" ref="I8:I47" si="4">H8/F8%</f>
        <v>118.21783030303031</v>
      </c>
      <c r="J8" s="86">
        <f>+N8+R8+V8+Z8+AD8+AH8+AL8+AP8+AT8+AX8+BB8</f>
        <v>0</v>
      </c>
      <c r="K8" s="86">
        <f>+O8+S8+W8+AA8+AE8+AI8+AM8+AQ8+AU8+AY8+BC8</f>
        <v>0</v>
      </c>
      <c r="L8" s="86">
        <f>+P8+T8+X8+AB8+AF8+AJ8+AN8+AR8+AV8+AZ8+BD8</f>
        <v>0</v>
      </c>
      <c r="M8" s="87"/>
      <c r="N8" s="86"/>
      <c r="O8" s="86"/>
      <c r="P8" s="86"/>
      <c r="Q8" s="177"/>
      <c r="R8" s="86"/>
      <c r="S8" s="86"/>
      <c r="T8" s="86"/>
      <c r="U8" s="177"/>
      <c r="V8" s="86"/>
      <c r="W8" s="86"/>
      <c r="X8" s="86"/>
      <c r="Y8" s="177"/>
      <c r="Z8" s="86"/>
      <c r="AA8" s="86"/>
      <c r="AB8" s="86"/>
      <c r="AC8" s="177"/>
      <c r="AD8" s="86"/>
      <c r="AE8" s="86"/>
      <c r="AF8" s="86"/>
      <c r="AG8" s="177"/>
      <c r="AH8" s="86"/>
      <c r="AI8" s="86"/>
      <c r="AJ8" s="86"/>
      <c r="AK8" s="177"/>
      <c r="AL8" s="86"/>
      <c r="AM8" s="86"/>
      <c r="AN8" s="86"/>
      <c r="AO8" s="177"/>
      <c r="AP8" s="86"/>
      <c r="AQ8" s="86"/>
      <c r="AR8" s="86"/>
      <c r="AS8" s="177"/>
      <c r="AT8" s="86"/>
      <c r="AU8" s="86"/>
      <c r="AV8" s="86"/>
      <c r="AW8" s="177"/>
      <c r="AX8" s="86"/>
      <c r="AY8" s="86"/>
      <c r="AZ8" s="86"/>
      <c r="BA8" s="177"/>
      <c r="BB8" s="86"/>
      <c r="BC8" s="86"/>
      <c r="BD8" s="86"/>
      <c r="BE8" s="177"/>
    </row>
    <row r="9" spans="1:57" s="108" customFormat="1" x14ac:dyDescent="0.25">
      <c r="A9" s="178" t="s">
        <v>25</v>
      </c>
      <c r="B9" s="86">
        <f>+B11+B12+B13+B14+B15+B16+B17+B18+B21+B26+B27+B29+B30+B34+B35+B36</f>
        <v>6867000</v>
      </c>
      <c r="C9" s="86">
        <f>+C11+C12+C13+C14+C15+C16+C17+C18+C21+C26+C27+C29+C30+C34+C35+C36</f>
        <v>436300.41200000001</v>
      </c>
      <c r="D9" s="86">
        <f>+D11+D12+D13+D14+D15+D16+D17+D18+D21+D26+D27+D29+D30+D34+D35+D36</f>
        <v>5506868.6890000002</v>
      </c>
      <c r="E9" s="87">
        <f t="shared" si="0"/>
        <v>80.193223955147815</v>
      </c>
      <c r="F9" s="86">
        <f t="shared" si="1"/>
        <v>4808353</v>
      </c>
      <c r="G9" s="86">
        <f t="shared" si="2"/>
        <v>249995.092</v>
      </c>
      <c r="H9" s="86">
        <f t="shared" si="3"/>
        <v>3663751.8610000005</v>
      </c>
      <c r="I9" s="177">
        <f t="shared" si="4"/>
        <v>76.195567609116893</v>
      </c>
      <c r="J9" s="86">
        <f>+N9+R9+V9+Z9+AD9+AH9+AL9+AP9+AT9+AX9+BB9</f>
        <v>2058647</v>
      </c>
      <c r="K9" s="86">
        <f>+O9+S9+W9+AA9+AE9+AI9+AM9+AQ9+AU9+AY9+BC9</f>
        <v>186305.32</v>
      </c>
      <c r="L9" s="86">
        <f>+P9+T9+X9+AB9+AF9+AJ9+AN9+AR9+AV9+AZ9+BD9</f>
        <v>1843116.8279999997</v>
      </c>
      <c r="M9" s="87">
        <f t="shared" ref="M9:M47" si="5">L9/J9%</f>
        <v>89.530493960353553</v>
      </c>
      <c r="N9" s="86">
        <f>+N11+N12+N13+N14+N15+N16+N17+N18+N21+N26+N27+N29+N30+N34+N35+N36</f>
        <v>892000</v>
      </c>
      <c r="O9" s="86">
        <f>+O11+O12+O13+O14+O15+O16+O17+O18+O21+O26+O27+O29+O30+O34+O35+O36</f>
        <v>51234.219000000005</v>
      </c>
      <c r="P9" s="86">
        <f>+P11+P12+P13+P14+P15+P16+P17+P18+P21+P26+P27+P29+P30+P34+P35+P36</f>
        <v>615658.61899999995</v>
      </c>
      <c r="Q9" s="177">
        <f>P9/N9%</f>
        <v>69.020024551569506</v>
      </c>
      <c r="R9" s="86">
        <f>+R11+R12+R13+R14+R15+R16+R17+R18+R21+R26+R27+R29+R30+R34+R35+R36</f>
        <v>164800</v>
      </c>
      <c r="S9" s="86">
        <f>+S11+S12+S13+S14+S15+S16+S17+S18+S21+S26+S27+S29+S30+S34+S35+S36</f>
        <v>17130.810000000001</v>
      </c>
      <c r="T9" s="86">
        <f>+T11+T12+T13+T14+T15+T16+T17+T18+T21+T26+T27+T29+T30+T34+T35+T36</f>
        <v>183213.88</v>
      </c>
      <c r="U9" s="177">
        <f>T9/R9%</f>
        <v>111.17347087378641</v>
      </c>
      <c r="V9" s="86">
        <f>+V11+V12+V13+V14+V15+V16+V17+V18+V21+V26+V27+V29+V30+V34+V35+V36</f>
        <v>129000</v>
      </c>
      <c r="W9" s="86">
        <f>+W11+W12+W13+W14+W15+W16+W17+W18+W21+W26+W27+W29+W30+W34+W35+W36</f>
        <v>11257.369999999999</v>
      </c>
      <c r="X9" s="86">
        <f>+X11+X12+X13+X14+X15+X16+X17+X18+X21+X26+X27+X29+X30+X34+X35+X36</f>
        <v>145165.65600000002</v>
      </c>
      <c r="Y9" s="177">
        <f>X9/V9%</f>
        <v>112.53151627906978</v>
      </c>
      <c r="Z9" s="86">
        <f>+Z11+Z12+Z13+Z14+Z15+Z16+Z17+Z18+Z21+Z26+Z27+Z29+Z30+Z34+Z35+Z36</f>
        <v>175237</v>
      </c>
      <c r="AA9" s="86">
        <f>+AA11+AA12+AA13+AA14+AA15+AA16+AA17+AA18+AA21+AA26+AA27+AA29+AA30+AA34+AA35+AA36</f>
        <v>22332.077999999998</v>
      </c>
      <c r="AB9" s="86">
        <f>+AB11+AB12+AB13+AB14+AB15+AB16+AB17+AB18+AB21+AB26+AB27+AB29+AB30+AB34+AB35+AB36</f>
        <v>188825.628</v>
      </c>
      <c r="AC9" s="177">
        <f>AB9/Z9%</f>
        <v>107.75442857387425</v>
      </c>
      <c r="AD9" s="86">
        <f>+AD11+AD12+AD13+AD14+AD15+AD16+AD17+AD18+AD21+AD26+AD27+AD29+AD30+AD34+AD35+AD36</f>
        <v>114400</v>
      </c>
      <c r="AE9" s="86">
        <f>+AE11+AE12+AE13+AE14+AE15+AE16+AE17+AE18+AE21+AE26+AE27+AE29+AE30+AE34+AE35+AE36</f>
        <v>17326.477999999999</v>
      </c>
      <c r="AF9" s="86">
        <f>+AF11+AF12+AF13+AF14+AF15+AF16+AF17+AF18+AF21+AF26+AF27+AF29+AF30+AF34+AF35+AF36</f>
        <v>121288.46700000002</v>
      </c>
      <c r="AG9" s="177">
        <f>AF9/AD9%</f>
        <v>106.02138723776226</v>
      </c>
      <c r="AH9" s="86">
        <f>+AH11+AH12+AH13+AH14+AH15+AH16+AH17+AH18+AH21+AH26+AH27+AH29+AH30+AH34+AH35+AH36</f>
        <v>108450</v>
      </c>
      <c r="AI9" s="86">
        <f>+AI11+AI12+AI13+AI14+AI15+AI16+AI17+AI18+AI21+AI26+AI27+AI29+AI30+AI34+AI35+AI36</f>
        <v>14467.108000000002</v>
      </c>
      <c r="AJ9" s="86">
        <f>+AJ11+AJ12+AJ13+AJ14+AJ15+AJ16+AJ17+AJ18+AJ21+AJ26+AJ27+AJ29+AJ30+AJ34+AJ35+AJ36</f>
        <v>113692.23999999999</v>
      </c>
      <c r="AK9" s="177">
        <f>AJ9/AH9%</f>
        <v>104.83378515444905</v>
      </c>
      <c r="AL9" s="86">
        <f>+AL11+AL12+AL13+AL14+AL15+AL16+AL17+AL18+AL21+AL26+AL27+AL29+AL30+AL34+AL35+AL36</f>
        <v>91360</v>
      </c>
      <c r="AM9" s="86">
        <f>+AM11+AM12+AM13+AM14+AM15+AM16+AM17+AM18+AM21+AM26+AM27+AM29+AM30+AM34+AM35+AM36</f>
        <v>10275.751</v>
      </c>
      <c r="AN9" s="86">
        <f>+AN11+AN12+AN13+AN14+AN15+AN16+AN17+AN18+AN21+AN26+AN27+AN29+AN30+AN34+AN35+AN36</f>
        <v>87667.637999999992</v>
      </c>
      <c r="AO9" s="177">
        <f>AN9/AL9%</f>
        <v>95.958447898423813</v>
      </c>
      <c r="AP9" s="86">
        <f>+AP11+AP12+AP13+AP14+AP15+AP16+AP17+AP18+AP21+AP26+AP27+AP29+AP30+AP34+AP35+AP36</f>
        <v>104700</v>
      </c>
      <c r="AQ9" s="86">
        <f>+AQ11+AQ12+AQ13+AQ14+AQ15+AQ16+AQ17+AQ18+AQ21+AQ26+AQ27+AQ29+AQ30+AQ34+AQ35+AQ36</f>
        <v>13215.986000000001</v>
      </c>
      <c r="AR9" s="86">
        <f>+AR11+AR12+AR13+AR14+AR15+AR16+AR17+AR18+AR21+AR26+AR27+AR29+AR30+AR34+AR35+AR36</f>
        <v>105886.02499999999</v>
      </c>
      <c r="AS9" s="177">
        <f>AR9/AP9%</f>
        <v>101.13278414517669</v>
      </c>
      <c r="AT9" s="86">
        <f>+AT11+AT12+AT13+AT14+AT15+AT16+AT17+AT18+AT21+AT26+AT27+AT29+AT30+AT34+AT35+AT36</f>
        <v>119300</v>
      </c>
      <c r="AU9" s="86">
        <f>+AU11+AU12+AU13+AU14+AU15+AU16+AU17+AU18+AU21+AU26+AU27+AU29+AU30+AU34+AU35+AU36</f>
        <v>12655.698</v>
      </c>
      <c r="AV9" s="86">
        <f>+AV11+AV12+AV13+AV14+AV15+AV16+AV17+AV18+AV21+AV26+AV27+AV29+AV30+AV34+AV35+AV36</f>
        <v>122862.70099999999</v>
      </c>
      <c r="AW9" s="177">
        <f>AV9/AT9%</f>
        <v>102.98633780385582</v>
      </c>
      <c r="AX9" s="86">
        <f>+AX11+AX12+AX13+AX14+AX15+AX16+AX17+AX18+AX21+AX26+AX27+AX29+AX30+AX34+AX35+AX36</f>
        <v>86800</v>
      </c>
      <c r="AY9" s="86">
        <f>+AY11+AY12+AY13+AY14+AY15+AY16+AY17+AY18+AY21+AY26+AY27+AY29+AY30+AY34+AY35+AY36</f>
        <v>8219.7870000000003</v>
      </c>
      <c r="AZ9" s="86">
        <f>+AZ11+AZ12+AZ13+AZ14+AZ15+AZ16+AZ17+AZ18+AZ21+AZ26+AZ27+AZ29+AZ30+AZ34+AZ35+AZ36</f>
        <v>78968.549999999988</v>
      </c>
      <c r="BA9" s="177">
        <f>AZ9/AX9%</f>
        <v>90.977592165898599</v>
      </c>
      <c r="BB9" s="86">
        <f>+BB11+BB12+BB13+BB14+BB15+BB16+BB17+BB18+BB21+BB26+BB27+BB29+BB30+BB34+BB35+BB36</f>
        <v>72600</v>
      </c>
      <c r="BC9" s="86">
        <f>+BC11+BC12+BC13+BC14+BC15+BC16+BC17+BC18+BC21+BC26+BC27+BC29+BC30+BC34+BC35+BC36</f>
        <v>8190.0349999999999</v>
      </c>
      <c r="BD9" s="86">
        <f>+BD11+BD12+BD13+BD14+BD15+BD16+BD17+BD18+BD21+BD26+BD27+BD29+BD30+BD34+BD35+BD36</f>
        <v>79887.423999999999</v>
      </c>
      <c r="BE9" s="177">
        <f t="shared" ref="BE9:BE47" si="6">BD9/BB9%</f>
        <v>110.03777410468319</v>
      </c>
    </row>
    <row r="10" spans="1:57" s="183" customFormat="1" x14ac:dyDescent="0.25">
      <c r="A10" s="179" t="s">
        <v>26</v>
      </c>
      <c r="B10" s="180">
        <f>+B9-B26-B36</f>
        <v>4357000</v>
      </c>
      <c r="C10" s="180">
        <f>+C9-C26-C36</f>
        <v>312634.56199999998</v>
      </c>
      <c r="D10" s="180">
        <f>+D9-D26-D36</f>
        <v>3596026.6770000006</v>
      </c>
      <c r="E10" s="181">
        <f t="shared" si="0"/>
        <v>82.534465848060606</v>
      </c>
      <c r="F10" s="180">
        <f t="shared" si="1"/>
        <v>2658353</v>
      </c>
      <c r="G10" s="180">
        <f t="shared" si="2"/>
        <v>142010.76499999998</v>
      </c>
      <c r="H10" s="180">
        <f t="shared" si="3"/>
        <v>1952204.3730000006</v>
      </c>
      <c r="I10" s="182">
        <f t="shared" si="4"/>
        <v>73.436611804376639</v>
      </c>
      <c r="J10" s="180">
        <f>+N10+R10+V10+Z10+AD10+AH10+AL10+AP10+AT10+AX10+BB10</f>
        <v>1698647</v>
      </c>
      <c r="K10" s="180">
        <f>+O10+S10+W10+AA10+AE10+AI10+AM10+AQ10+AU10+AY10+BC10</f>
        <v>170623.79699999999</v>
      </c>
      <c r="L10" s="180">
        <f>+P10+T10+X10+AB10+AF10+AJ10+AN10+AR10+AV10+AZ10+BD10</f>
        <v>1643822.304</v>
      </c>
      <c r="M10" s="181">
        <f t="shared" si="5"/>
        <v>96.772449131573538</v>
      </c>
      <c r="N10" s="180">
        <f>+N9-N26-N36</f>
        <v>742000</v>
      </c>
      <c r="O10" s="180">
        <f>+O9-O26-O36</f>
        <v>48258.488000000005</v>
      </c>
      <c r="P10" s="180">
        <f>+P9-P26-P36</f>
        <v>570990.41299999994</v>
      </c>
      <c r="Q10" s="182">
        <f>P10/N10%</f>
        <v>76.952885849056599</v>
      </c>
      <c r="R10" s="180">
        <f>+R9-R26-R36</f>
        <v>134800</v>
      </c>
      <c r="S10" s="180">
        <f>+S9-S26-S36</f>
        <v>16552.190000000002</v>
      </c>
      <c r="T10" s="180">
        <f>+T9-T26-T36</f>
        <v>159514.32399999999</v>
      </c>
      <c r="U10" s="182">
        <f>T10/R10%</f>
        <v>118.33406824925815</v>
      </c>
      <c r="V10" s="180">
        <f>+V9-V26-V36</f>
        <v>94000</v>
      </c>
      <c r="W10" s="180">
        <f>+W9-W26-W36</f>
        <v>7946.7739999999994</v>
      </c>
      <c r="X10" s="180">
        <f>+X9-X26-X36</f>
        <v>122172.26000000001</v>
      </c>
      <c r="Y10" s="182">
        <f>X10/V10%</f>
        <v>129.97048936170214</v>
      </c>
      <c r="Z10" s="180">
        <f>+Z9-Z26-Z36</f>
        <v>145237</v>
      </c>
      <c r="AA10" s="180">
        <f>+AA9-AA26-AA36</f>
        <v>21024.042999999998</v>
      </c>
      <c r="AB10" s="180">
        <f>+AB9-AB26-AB36</f>
        <v>162539.70499999999</v>
      </c>
      <c r="AC10" s="182">
        <f>AB10/Z10%</f>
        <v>111.9134277078155</v>
      </c>
      <c r="AD10" s="180">
        <f>+AD9-AD26-AD36</f>
        <v>84400</v>
      </c>
      <c r="AE10" s="180">
        <f>+AE9-AE26-AE36</f>
        <v>15515.510999999999</v>
      </c>
      <c r="AF10" s="180">
        <f>+AF9-AF26-AF36</f>
        <v>106898.17400000001</v>
      </c>
      <c r="AG10" s="182">
        <f>AF10/AD10%</f>
        <v>126.65660426540286</v>
      </c>
      <c r="AH10" s="180">
        <f>+AH9-AH26-AH36</f>
        <v>98450</v>
      </c>
      <c r="AI10" s="180">
        <f>+AI9-AI26-AI36</f>
        <v>14427.552000000001</v>
      </c>
      <c r="AJ10" s="180">
        <f>+AJ9-AJ26-AJ36</f>
        <v>109517.91999999998</v>
      </c>
      <c r="AK10" s="182">
        <f>AJ10/AH10%</f>
        <v>111.24217369222954</v>
      </c>
      <c r="AL10" s="180">
        <f>+AL9-AL26-AL36</f>
        <v>81360</v>
      </c>
      <c r="AM10" s="180">
        <f>+AM9-AM26-AM36</f>
        <v>9343.1810000000005</v>
      </c>
      <c r="AN10" s="180">
        <f>+AN9-AN26-AN36</f>
        <v>73807.791999999987</v>
      </c>
      <c r="AO10" s="182">
        <f>AN10/AL10%</f>
        <v>90.717541789577169</v>
      </c>
      <c r="AP10" s="180">
        <f>+AP9-AP26-AP36</f>
        <v>84700</v>
      </c>
      <c r="AQ10" s="180">
        <f>+AQ9-AQ26-AQ36</f>
        <v>9973.4530000000013</v>
      </c>
      <c r="AR10" s="180">
        <f>+AR9-AR26-AR36</f>
        <v>86879.258999999991</v>
      </c>
      <c r="AS10" s="182">
        <f>AR10/AP10%</f>
        <v>102.57291499409681</v>
      </c>
      <c r="AT10" s="180">
        <f>+AT9-AT26-AT36</f>
        <v>104300</v>
      </c>
      <c r="AU10" s="180">
        <f>+AU9-AU26-AU36</f>
        <v>13205.044</v>
      </c>
      <c r="AV10" s="180">
        <f>+AV9-AV26-AV36</f>
        <v>117513.50199999999</v>
      </c>
      <c r="AW10" s="182">
        <f>AV10/AT10%</f>
        <v>112.66874592521572</v>
      </c>
      <c r="AX10" s="180">
        <f>+AX9-AX26-AX36</f>
        <v>71800</v>
      </c>
      <c r="AY10" s="180">
        <f>+AY9-AY26-AY36</f>
        <v>7183.27</v>
      </c>
      <c r="AZ10" s="180">
        <f>+AZ9-AZ26-AZ36</f>
        <v>63379.060999999987</v>
      </c>
      <c r="BA10" s="182">
        <f>AZ10/AX10%</f>
        <v>88.271672701949839</v>
      </c>
      <c r="BB10" s="180">
        <f>+BB9-BB26-BB36</f>
        <v>57600</v>
      </c>
      <c r="BC10" s="180">
        <f>+BC9-BC26-BC36</f>
        <v>7194.2910000000002</v>
      </c>
      <c r="BD10" s="180">
        <f>+BD9-BD26-BD36</f>
        <v>70609.894</v>
      </c>
      <c r="BE10" s="182">
        <f t="shared" si="6"/>
        <v>122.58662152777778</v>
      </c>
    </row>
    <row r="11" spans="1:57" s="108" customFormat="1" x14ac:dyDescent="0.25">
      <c r="A11" s="110" t="s">
        <v>65</v>
      </c>
      <c r="B11" s="82">
        <v>215000</v>
      </c>
      <c r="C11" s="82">
        <v>14450.311</v>
      </c>
      <c r="D11" s="82">
        <v>153244.57999999999</v>
      </c>
      <c r="E11" s="95">
        <f t="shared" si="0"/>
        <v>71.27654883720929</v>
      </c>
      <c r="F11" s="82">
        <f t="shared" si="1"/>
        <v>213753</v>
      </c>
      <c r="G11" s="82">
        <f t="shared" si="2"/>
        <v>13919.228999999999</v>
      </c>
      <c r="H11" s="82">
        <f t="shared" si="3"/>
        <v>148213.52499999999</v>
      </c>
      <c r="I11" s="111">
        <f t="shared" si="4"/>
        <v>69.338687644150014</v>
      </c>
      <c r="J11" s="82">
        <f>+N11+R11+V11+Z11+AD11+AH11+AL11+AP11+AT11+AX11+BB11</f>
        <v>1247</v>
      </c>
      <c r="K11" s="82">
        <f>+O11+S11+W11+AA11+AE11+AI11+AM11+AQ11+AU11+AY11+BC11</f>
        <v>531.08199999999999</v>
      </c>
      <c r="L11" s="82">
        <f>+P11+T11+X11+AB11+AF11+AJ11+AN11+AR11+AV11+AZ11+BD11</f>
        <v>5031.0550000000003</v>
      </c>
      <c r="M11" s="95">
        <f t="shared" si="5"/>
        <v>403.45268644747392</v>
      </c>
      <c r="N11" s="82">
        <v>117</v>
      </c>
      <c r="O11" s="82">
        <v>0</v>
      </c>
      <c r="P11" s="82">
        <v>159.148</v>
      </c>
      <c r="Q11" s="111">
        <f>P11/N11%</f>
        <v>136.02393162393162</v>
      </c>
      <c r="R11" s="82">
        <v>330</v>
      </c>
      <c r="S11" s="82">
        <v>531.08199999999999</v>
      </c>
      <c r="T11" s="82">
        <v>3383.4870000000001</v>
      </c>
      <c r="U11" s="111">
        <f>T11/R11%</f>
        <v>1025.2990909090911</v>
      </c>
      <c r="V11" s="82"/>
      <c r="W11" s="82"/>
      <c r="X11" s="82"/>
      <c r="Y11" s="111"/>
      <c r="Z11" s="82">
        <v>550</v>
      </c>
      <c r="AA11" s="82">
        <v>0</v>
      </c>
      <c r="AB11" s="82">
        <v>1189.0150000000001</v>
      </c>
      <c r="AC11" s="111">
        <f>AB11/Z11%</f>
        <v>216.18454545454549</v>
      </c>
      <c r="AD11" s="82">
        <v>200</v>
      </c>
      <c r="AE11" s="82"/>
      <c r="AF11" s="82">
        <v>279.20499999999998</v>
      </c>
      <c r="AG11" s="111">
        <f>AF11/AD11%</f>
        <v>139.60249999999999</v>
      </c>
      <c r="AH11" s="82"/>
      <c r="AI11" s="82"/>
      <c r="AJ11" s="82"/>
      <c r="AK11" s="111"/>
      <c r="AL11" s="82"/>
      <c r="AM11" s="82"/>
      <c r="AN11" s="82"/>
      <c r="AO11" s="111"/>
      <c r="AP11" s="82">
        <v>50</v>
      </c>
      <c r="AQ11" s="82"/>
      <c r="AR11" s="82">
        <v>20.2</v>
      </c>
      <c r="AS11" s="111">
        <f>AR11/AP11%</f>
        <v>40.4</v>
      </c>
      <c r="AT11" s="82"/>
      <c r="AU11" s="82"/>
      <c r="AV11" s="82"/>
      <c r="AW11" s="111"/>
      <c r="AX11" s="82"/>
      <c r="AY11" s="82"/>
      <c r="AZ11" s="82"/>
      <c r="BA11" s="111"/>
      <c r="BB11" s="82"/>
      <c r="BC11" s="82"/>
      <c r="BD11" s="82">
        <v>0</v>
      </c>
      <c r="BE11" s="111"/>
    </row>
    <row r="12" spans="1:57" s="183" customFormat="1" x14ac:dyDescent="0.25">
      <c r="A12" s="110" t="s">
        <v>66</v>
      </c>
      <c r="B12" s="96">
        <v>460000</v>
      </c>
      <c r="C12" s="96">
        <v>21910.521000000001</v>
      </c>
      <c r="D12" s="96">
        <v>383928.38199999998</v>
      </c>
      <c r="E12" s="85">
        <f t="shared" si="0"/>
        <v>83.462691739130435</v>
      </c>
      <c r="F12" s="96">
        <f t="shared" si="1"/>
        <v>443530</v>
      </c>
      <c r="G12" s="96">
        <f t="shared" si="2"/>
        <v>20273.505000000001</v>
      </c>
      <c r="H12" s="96">
        <f t="shared" si="3"/>
        <v>364538.245</v>
      </c>
      <c r="I12" s="111">
        <f t="shared" si="4"/>
        <v>82.190211485130646</v>
      </c>
      <c r="J12" s="96">
        <f>+N12+R12+V12+Z12+AD12+AH12+AL12+AP12+AT12+AX12+BB12</f>
        <v>16470</v>
      </c>
      <c r="K12" s="96">
        <f>+O12+S12+W12+AA12+AE12+AI12+AM12+AQ12+AU12+AY12+BC12</f>
        <v>1637.0159999999998</v>
      </c>
      <c r="L12" s="96">
        <f>+P12+T12+X12+AB12+AF12+AJ12+AN12+AR12+AV12+AZ12+BD12</f>
        <v>19390.136999999999</v>
      </c>
      <c r="M12" s="85">
        <f t="shared" si="5"/>
        <v>117.7300364298725</v>
      </c>
      <c r="N12" s="96">
        <v>12000</v>
      </c>
      <c r="O12" s="96">
        <v>1214.1279999999999</v>
      </c>
      <c r="P12" s="96">
        <v>12546.934999999999</v>
      </c>
      <c r="Q12" s="111">
        <f>P12/N12%</f>
        <v>104.55779166666666</v>
      </c>
      <c r="R12" s="96">
        <v>720</v>
      </c>
      <c r="S12" s="96">
        <v>123.04300000000001</v>
      </c>
      <c r="T12" s="96">
        <v>1856.847</v>
      </c>
      <c r="U12" s="111">
        <f>T12/R12%</f>
        <v>257.89541666666668</v>
      </c>
      <c r="V12" s="96">
        <v>950</v>
      </c>
      <c r="W12" s="96">
        <v>6.9009999999999998</v>
      </c>
      <c r="X12" s="96">
        <v>858.31500000000005</v>
      </c>
      <c r="Y12" s="111">
        <f>X12/V12%</f>
        <v>90.348947368421065</v>
      </c>
      <c r="Z12" s="96">
        <v>600</v>
      </c>
      <c r="AA12" s="96">
        <v>28.911000000000001</v>
      </c>
      <c r="AB12" s="96">
        <v>891.97199999999998</v>
      </c>
      <c r="AC12" s="111">
        <f>AB12/Z12%</f>
        <v>148.66200000000001</v>
      </c>
      <c r="AD12" s="96">
        <v>350</v>
      </c>
      <c r="AE12" s="96">
        <v>15.448</v>
      </c>
      <c r="AF12" s="96">
        <v>484.714</v>
      </c>
      <c r="AG12" s="111">
        <f>AF12/AD12%</f>
        <v>138.48971428571429</v>
      </c>
      <c r="AH12" s="96">
        <v>30</v>
      </c>
      <c r="AI12" s="96">
        <v>111.123</v>
      </c>
      <c r="AJ12" s="96">
        <v>599.61199999999997</v>
      </c>
      <c r="AK12" s="111">
        <f>AJ12/AH12%</f>
        <v>1998.7066666666667</v>
      </c>
      <c r="AL12" s="96">
        <v>200</v>
      </c>
      <c r="AM12" s="96">
        <v>30.864000000000001</v>
      </c>
      <c r="AN12" s="96">
        <v>265.26799999999997</v>
      </c>
      <c r="AO12" s="111">
        <f>AN12/AL12%</f>
        <v>132.63399999999999</v>
      </c>
      <c r="AP12" s="96">
        <v>500</v>
      </c>
      <c r="AQ12" s="96">
        <v>35.694000000000003</v>
      </c>
      <c r="AR12" s="96">
        <v>690.85</v>
      </c>
      <c r="AS12" s="111">
        <f>AR12/AP12%</f>
        <v>138.17000000000002</v>
      </c>
      <c r="AT12" s="96">
        <v>500</v>
      </c>
      <c r="AU12" s="96">
        <v>7.3220000000000001</v>
      </c>
      <c r="AV12" s="96">
        <v>275.245</v>
      </c>
      <c r="AW12" s="111">
        <f>AV12/AT12%</f>
        <v>55.048999999999999</v>
      </c>
      <c r="AX12" s="96">
        <v>470</v>
      </c>
      <c r="AY12" s="96">
        <v>45.648000000000003</v>
      </c>
      <c r="AZ12" s="96">
        <v>698.15899999999999</v>
      </c>
      <c r="BA12" s="111">
        <f>AZ12/AX12%</f>
        <v>148.54446808510639</v>
      </c>
      <c r="BB12" s="96">
        <v>150</v>
      </c>
      <c r="BC12" s="96">
        <v>17.934000000000001</v>
      </c>
      <c r="BD12" s="96">
        <v>222.22</v>
      </c>
      <c r="BE12" s="111">
        <f t="shared" si="6"/>
        <v>148.14666666666668</v>
      </c>
    </row>
    <row r="13" spans="1:57" s="108" customFormat="1" x14ac:dyDescent="0.25">
      <c r="A13" s="110" t="s">
        <v>68</v>
      </c>
      <c r="B13" s="105">
        <v>75000</v>
      </c>
      <c r="C13" s="105">
        <v>3688.5880000000002</v>
      </c>
      <c r="D13" s="105">
        <v>64521.544000000002</v>
      </c>
      <c r="E13" s="85">
        <f t="shared" si="0"/>
        <v>86.028725333333341</v>
      </c>
      <c r="F13" s="105">
        <f t="shared" si="1"/>
        <v>75000</v>
      </c>
      <c r="G13" s="105">
        <f t="shared" si="2"/>
        <v>3688.5880000000002</v>
      </c>
      <c r="H13" s="105">
        <f t="shared" si="3"/>
        <v>64521.544000000002</v>
      </c>
      <c r="I13" s="111">
        <f t="shared" si="4"/>
        <v>86.028725333333341</v>
      </c>
      <c r="J13" s="105">
        <f>+N13+R13+V13+Z13+AD13+AH13+AL13+AP13+AT13+AX13+BB13</f>
        <v>0</v>
      </c>
      <c r="K13" s="105">
        <f>+O13+S13+W13+AA13+AE13+AI13+AM13+AQ13+AU13+AY13+BC13</f>
        <v>0</v>
      </c>
      <c r="L13" s="105">
        <f>+P13+T13+X13+AB13+AF13+AJ13+AN13+AR13+AV13+AZ13+BD13</f>
        <v>0</v>
      </c>
      <c r="M13" s="85"/>
      <c r="N13" s="105">
        <v>0</v>
      </c>
      <c r="O13" s="105"/>
      <c r="P13" s="105"/>
      <c r="Q13" s="111"/>
      <c r="R13" s="105">
        <v>0</v>
      </c>
      <c r="S13" s="105"/>
      <c r="T13" s="105"/>
      <c r="U13" s="111"/>
      <c r="V13" s="105">
        <v>0</v>
      </c>
      <c r="W13" s="105"/>
      <c r="X13" s="105"/>
      <c r="Y13" s="111"/>
      <c r="Z13" s="105">
        <v>0</v>
      </c>
      <c r="AA13" s="105"/>
      <c r="AB13" s="105"/>
      <c r="AC13" s="111"/>
      <c r="AD13" s="105">
        <v>0</v>
      </c>
      <c r="AE13" s="105"/>
      <c r="AF13" s="105"/>
      <c r="AG13" s="111"/>
      <c r="AH13" s="105">
        <v>0</v>
      </c>
      <c r="AI13" s="105"/>
      <c r="AJ13" s="105"/>
      <c r="AK13" s="111"/>
      <c r="AL13" s="105">
        <v>0</v>
      </c>
      <c r="AM13" s="105"/>
      <c r="AN13" s="105"/>
      <c r="AO13" s="111"/>
      <c r="AP13" s="105">
        <v>0</v>
      </c>
      <c r="AQ13" s="105"/>
      <c r="AR13" s="105"/>
      <c r="AS13" s="111"/>
      <c r="AT13" s="105">
        <v>0</v>
      </c>
      <c r="AU13" s="105"/>
      <c r="AV13" s="105"/>
      <c r="AW13" s="111"/>
      <c r="AX13" s="105">
        <v>0</v>
      </c>
      <c r="AY13" s="105"/>
      <c r="AZ13" s="105"/>
      <c r="BA13" s="111"/>
      <c r="BB13" s="105">
        <v>0</v>
      </c>
      <c r="BC13" s="105"/>
      <c r="BD13" s="105"/>
      <c r="BE13" s="111"/>
    </row>
    <row r="14" spans="1:57" s="108" customFormat="1" x14ac:dyDescent="0.25">
      <c r="A14" s="110" t="s">
        <v>69</v>
      </c>
      <c r="B14" s="96">
        <v>1350000</v>
      </c>
      <c r="C14" s="96">
        <v>95019.661999999997</v>
      </c>
      <c r="D14" s="96">
        <v>1120994.94</v>
      </c>
      <c r="E14" s="85">
        <f t="shared" si="0"/>
        <v>83.036662222222219</v>
      </c>
      <c r="F14" s="96">
        <f t="shared" si="1"/>
        <v>664000</v>
      </c>
      <c r="G14" s="96">
        <f t="shared" si="2"/>
        <v>27406.209999999992</v>
      </c>
      <c r="H14" s="96">
        <f t="shared" si="3"/>
        <v>381688.375</v>
      </c>
      <c r="I14" s="111">
        <f t="shared" si="4"/>
        <v>57.483189006024098</v>
      </c>
      <c r="J14" s="96">
        <f>+N14+R14+V14+Z14+AD14+AH14+AL14+AP14+AT14+AX14+BB14</f>
        <v>686000</v>
      </c>
      <c r="K14" s="96">
        <f>+O14+S14+W14+AA14+AE14+AI14+AM14+AQ14+AU14+AY14+BC14</f>
        <v>67613.452000000005</v>
      </c>
      <c r="L14" s="96">
        <f>+P14+T14+X14+AB14+AF14+AJ14+AN14+AR14+AV14+AZ14+BD14</f>
        <v>739306.56499999994</v>
      </c>
      <c r="M14" s="85">
        <f t="shared" si="5"/>
        <v>107.77063629737609</v>
      </c>
      <c r="N14" s="96">
        <v>320000</v>
      </c>
      <c r="O14" s="96">
        <v>19247.838</v>
      </c>
      <c r="P14" s="96">
        <v>314509.65899999999</v>
      </c>
      <c r="Q14" s="111">
        <f>P14/N14%</f>
        <v>98.284268437499989</v>
      </c>
      <c r="R14" s="96">
        <v>52000</v>
      </c>
      <c r="S14" s="96">
        <v>3906.665</v>
      </c>
      <c r="T14" s="96">
        <v>43507.163999999997</v>
      </c>
      <c r="U14" s="111">
        <f>T14/R14%</f>
        <v>83.667623076923064</v>
      </c>
      <c r="V14" s="96">
        <v>38000</v>
      </c>
      <c r="W14" s="96">
        <v>2723.433</v>
      </c>
      <c r="X14" s="96">
        <v>67516.331000000006</v>
      </c>
      <c r="Y14" s="111">
        <f>X14/V14%</f>
        <v>177.67455526315791</v>
      </c>
      <c r="Z14" s="96">
        <v>48000</v>
      </c>
      <c r="AA14" s="96">
        <v>10155.803</v>
      </c>
      <c r="AB14" s="96">
        <v>62770.084000000003</v>
      </c>
      <c r="AC14" s="111">
        <f>AB14/Z14%</f>
        <v>130.77100833333333</v>
      </c>
      <c r="AD14" s="96">
        <v>25500</v>
      </c>
      <c r="AE14" s="96">
        <v>8741.2009999999991</v>
      </c>
      <c r="AF14" s="96">
        <v>44463.25</v>
      </c>
      <c r="AG14" s="111">
        <f>AF14/AD14%</f>
        <v>174.36568627450981</v>
      </c>
      <c r="AH14" s="96">
        <v>33000</v>
      </c>
      <c r="AI14" s="96">
        <v>6259.2790000000005</v>
      </c>
      <c r="AJ14" s="96">
        <v>35202.947999999997</v>
      </c>
      <c r="AK14" s="111">
        <f>AJ14/AH14%</f>
        <v>106.67559999999999</v>
      </c>
      <c r="AL14" s="96">
        <v>26500</v>
      </c>
      <c r="AM14" s="96">
        <v>3600.3690000000001</v>
      </c>
      <c r="AN14" s="96">
        <v>30939.016</v>
      </c>
      <c r="AO14" s="111">
        <f>AN14/AL14%</f>
        <v>116.7510037735849</v>
      </c>
      <c r="AP14" s="96">
        <v>34000</v>
      </c>
      <c r="AQ14" s="96">
        <v>3004.8780000000002</v>
      </c>
      <c r="AR14" s="96">
        <v>31652.046999999999</v>
      </c>
      <c r="AS14" s="111">
        <f>AR14/AP14%</f>
        <v>93.09425588235294</v>
      </c>
      <c r="AT14" s="96">
        <v>57000</v>
      </c>
      <c r="AU14" s="96">
        <v>5257.0619999999999</v>
      </c>
      <c r="AV14" s="96">
        <v>54223.66</v>
      </c>
      <c r="AW14" s="111">
        <f>AV14/AT14%</f>
        <v>95.129228070175444</v>
      </c>
      <c r="AX14" s="96">
        <v>31000</v>
      </c>
      <c r="AY14" s="96">
        <v>2306.692</v>
      </c>
      <c r="AZ14" s="96">
        <v>20401.218000000001</v>
      </c>
      <c r="BA14" s="111">
        <f>AZ14/AX14%</f>
        <v>65.810380645161288</v>
      </c>
      <c r="BB14" s="96">
        <v>21000</v>
      </c>
      <c r="BC14" s="96">
        <v>2410.232</v>
      </c>
      <c r="BD14" s="96">
        <v>34121.188000000002</v>
      </c>
      <c r="BE14" s="111">
        <f t="shared" si="6"/>
        <v>162.48184761904764</v>
      </c>
    </row>
    <row r="15" spans="1:57" s="108" customFormat="1" x14ac:dyDescent="0.25">
      <c r="A15" s="110" t="s">
        <v>4</v>
      </c>
      <c r="B15" s="82">
        <v>355000</v>
      </c>
      <c r="C15" s="82">
        <v>35333.180999999997</v>
      </c>
      <c r="D15" s="82">
        <v>227819.57399999999</v>
      </c>
      <c r="E15" s="95">
        <f t="shared" si="0"/>
        <v>64.174527887323947</v>
      </c>
      <c r="F15" s="82">
        <f t="shared" si="1"/>
        <v>0</v>
      </c>
      <c r="G15" s="82">
        <f t="shared" si="2"/>
        <v>5.9999999939464033E-3</v>
      </c>
      <c r="H15" s="82">
        <f t="shared" si="3"/>
        <v>6.0000000230502337E-3</v>
      </c>
      <c r="I15" s="111"/>
      <c r="J15" s="82">
        <f>+N15+R15+V15+Z15+AD15+AH15+AL15+AP15+AT15+AX15+BB15</f>
        <v>355000</v>
      </c>
      <c r="K15" s="82">
        <f>+O15+S15+W15+AA15+AE15+AI15+AM15+AQ15+AU15+AY15+BC15</f>
        <v>35333.175000000003</v>
      </c>
      <c r="L15" s="82">
        <f>+P15+T15+X15+AB15+AF15+AJ15+AN15+AR15+AV15+AZ15+BD15</f>
        <v>227819.56799999997</v>
      </c>
      <c r="M15" s="95">
        <f t="shared" si="5"/>
        <v>64.174526197183084</v>
      </c>
      <c r="N15" s="82">
        <v>198300</v>
      </c>
      <c r="O15" s="82">
        <v>8906.0159999999996</v>
      </c>
      <c r="P15" s="82">
        <v>59198.027000000002</v>
      </c>
      <c r="Q15" s="111">
        <f>P15/N15%</f>
        <v>29.852761976802825</v>
      </c>
      <c r="R15" s="82">
        <v>17000</v>
      </c>
      <c r="S15" s="82">
        <v>3536.4009999999998</v>
      </c>
      <c r="T15" s="82">
        <v>18335.485000000001</v>
      </c>
      <c r="U15" s="111">
        <f>T15/R15%</f>
        <v>107.85579411764706</v>
      </c>
      <c r="V15" s="82">
        <v>20000</v>
      </c>
      <c r="W15" s="82">
        <v>2203.2260000000001</v>
      </c>
      <c r="X15" s="82">
        <v>18668.219000000001</v>
      </c>
      <c r="Y15" s="111">
        <f>X15/V15%</f>
        <v>93.34109500000001</v>
      </c>
      <c r="Z15" s="82">
        <v>26400</v>
      </c>
      <c r="AA15" s="82">
        <v>4278.5349999999999</v>
      </c>
      <c r="AB15" s="82">
        <v>28928.064999999999</v>
      </c>
      <c r="AC15" s="111">
        <f>AB15/Z15%</f>
        <v>109.57600378787879</v>
      </c>
      <c r="AD15" s="82">
        <v>15000</v>
      </c>
      <c r="AE15" s="82">
        <v>1799.5060000000001</v>
      </c>
      <c r="AF15" s="82">
        <v>12456.436</v>
      </c>
      <c r="AG15" s="111">
        <f>AF15/AD15%</f>
        <v>83.042906666666667</v>
      </c>
      <c r="AH15" s="82">
        <v>15000</v>
      </c>
      <c r="AI15" s="82">
        <v>2980.9459999999999</v>
      </c>
      <c r="AJ15" s="82">
        <v>19459.923999999999</v>
      </c>
      <c r="AK15" s="111">
        <f>AJ15/AH15%</f>
        <v>129.73282666666665</v>
      </c>
      <c r="AL15" s="82">
        <v>18000</v>
      </c>
      <c r="AM15" s="82">
        <v>2383.0250000000001</v>
      </c>
      <c r="AN15" s="82">
        <v>14655.038</v>
      </c>
      <c r="AO15" s="111">
        <f>AN15/AL15%</f>
        <v>81.416877777777785</v>
      </c>
      <c r="AP15" s="82">
        <v>14500</v>
      </c>
      <c r="AQ15" s="82">
        <v>2514.855</v>
      </c>
      <c r="AR15" s="82">
        <v>16378.298000000001</v>
      </c>
      <c r="AS15" s="111">
        <f>AR15/AP15%</f>
        <v>112.95377931034483</v>
      </c>
      <c r="AT15" s="82">
        <v>12000</v>
      </c>
      <c r="AU15" s="82">
        <v>2602.33</v>
      </c>
      <c r="AV15" s="82">
        <v>14314.311</v>
      </c>
      <c r="AW15" s="111">
        <f>AV15/AT15%</f>
        <v>119.28592499999999</v>
      </c>
      <c r="AX15" s="82">
        <v>8800</v>
      </c>
      <c r="AY15" s="82">
        <v>1913.162</v>
      </c>
      <c r="AZ15" s="82">
        <v>11039.107</v>
      </c>
      <c r="BA15" s="111">
        <f>AZ15/AX15%</f>
        <v>125.44439772727273</v>
      </c>
      <c r="BB15" s="82">
        <v>10000</v>
      </c>
      <c r="BC15" s="82">
        <v>2215.1729999999998</v>
      </c>
      <c r="BD15" s="82">
        <v>14386.657999999999</v>
      </c>
      <c r="BE15" s="111">
        <f t="shared" si="6"/>
        <v>143.86658</v>
      </c>
    </row>
    <row r="16" spans="1:57" s="108" customFormat="1" x14ac:dyDescent="0.25">
      <c r="A16" s="110" t="s">
        <v>5</v>
      </c>
      <c r="B16" s="82">
        <v>17000</v>
      </c>
      <c r="C16" s="82">
        <v>1807.9110000000001</v>
      </c>
      <c r="D16" s="82">
        <v>16034.47</v>
      </c>
      <c r="E16" s="95">
        <f t="shared" si="0"/>
        <v>94.320411764705881</v>
      </c>
      <c r="F16" s="82">
        <f t="shared" si="1"/>
        <v>0</v>
      </c>
      <c r="G16" s="82">
        <f t="shared" si="2"/>
        <v>5.5999999999812644E-2</v>
      </c>
      <c r="H16" s="82">
        <f t="shared" si="3"/>
        <v>6.9999999996070983E-3</v>
      </c>
      <c r="I16" s="111"/>
      <c r="J16" s="82">
        <f>+N16+R16+V16+Z16+AD16+AH16+AL16+AP16+AT16+AX16+BB16</f>
        <v>17000</v>
      </c>
      <c r="K16" s="82">
        <f>+O16+S16+W16+AA16+AE16+AI16+AM16+AQ16+AU16+AY16+BC16</f>
        <v>1807.8550000000002</v>
      </c>
      <c r="L16" s="82">
        <f>+P16+T16+X16+AB16+AF16+AJ16+AN16+AR16+AV16+AZ16+BD16</f>
        <v>16034.463</v>
      </c>
      <c r="M16" s="95">
        <f t="shared" si="5"/>
        <v>94.320370588235292</v>
      </c>
      <c r="N16" s="82">
        <v>12188</v>
      </c>
      <c r="O16" s="82">
        <v>848.75</v>
      </c>
      <c r="P16" s="82">
        <v>11920.465</v>
      </c>
      <c r="Q16" s="111">
        <f>P16/N16%</f>
        <v>97.804931079750574</v>
      </c>
      <c r="R16" s="82">
        <v>2800</v>
      </c>
      <c r="S16" s="82">
        <v>463.74799999999999</v>
      </c>
      <c r="T16" s="82">
        <v>2409.3649999999998</v>
      </c>
      <c r="U16" s="111">
        <f>T16/R16%</f>
        <v>86.048749999999998</v>
      </c>
      <c r="V16" s="82">
        <v>280</v>
      </c>
      <c r="W16" s="82">
        <v>16.411000000000001</v>
      </c>
      <c r="X16" s="82">
        <v>298.87799999999999</v>
      </c>
      <c r="Y16" s="111">
        <f>X16/V16%</f>
        <v>106.74214285714285</v>
      </c>
      <c r="Z16" s="82">
        <v>600</v>
      </c>
      <c r="AA16" s="82">
        <v>280.27300000000002</v>
      </c>
      <c r="AB16" s="82">
        <v>374.36700000000002</v>
      </c>
      <c r="AC16" s="111">
        <f>AB16/Z16%</f>
        <v>62.394500000000001</v>
      </c>
      <c r="AD16" s="82">
        <v>112</v>
      </c>
      <c r="AE16" s="82">
        <v>27.972999999999999</v>
      </c>
      <c r="AF16" s="82">
        <v>76.3</v>
      </c>
      <c r="AG16" s="111">
        <f>AF16/AD16%</f>
        <v>68.124999999999986</v>
      </c>
      <c r="AH16" s="82">
        <v>350</v>
      </c>
      <c r="AI16" s="82">
        <v>46.716000000000001</v>
      </c>
      <c r="AJ16" s="82">
        <v>257.209</v>
      </c>
      <c r="AK16" s="111">
        <f>AJ16/AH16%</f>
        <v>73.488285714285709</v>
      </c>
      <c r="AL16" s="82">
        <v>300</v>
      </c>
      <c r="AM16" s="82">
        <v>74.563000000000002</v>
      </c>
      <c r="AN16" s="82">
        <v>202.50200000000001</v>
      </c>
      <c r="AO16" s="111">
        <f>AN16/AL16%</f>
        <v>67.500666666666675</v>
      </c>
      <c r="AP16" s="82">
        <v>100</v>
      </c>
      <c r="AQ16" s="82">
        <v>7.327</v>
      </c>
      <c r="AR16" s="82">
        <v>209.154</v>
      </c>
      <c r="AS16" s="111">
        <f>AR16/AP16%</f>
        <v>209.154</v>
      </c>
      <c r="AT16" s="82">
        <v>200</v>
      </c>
      <c r="AU16" s="82">
        <v>40.276000000000003</v>
      </c>
      <c r="AV16" s="82">
        <v>188.00700000000001</v>
      </c>
      <c r="AW16" s="111">
        <f>AV16/AT16%</f>
        <v>94.003500000000003</v>
      </c>
      <c r="AX16" s="82">
        <v>30</v>
      </c>
      <c r="AY16" s="82">
        <v>0</v>
      </c>
      <c r="AZ16" s="82">
        <v>77.218999999999994</v>
      </c>
      <c r="BA16" s="111">
        <f>AZ16/AX16%</f>
        <v>257.39666666666665</v>
      </c>
      <c r="BB16" s="82">
        <v>40</v>
      </c>
      <c r="BC16" s="82">
        <v>1.8180000000000001</v>
      </c>
      <c r="BD16" s="82">
        <v>20.997</v>
      </c>
      <c r="BE16" s="111">
        <f t="shared" si="6"/>
        <v>52.4925</v>
      </c>
    </row>
    <row r="17" spans="1:57" s="108" customFormat="1" x14ac:dyDescent="0.25">
      <c r="A17" s="110" t="s">
        <v>6</v>
      </c>
      <c r="B17" s="82">
        <v>720000</v>
      </c>
      <c r="C17" s="82">
        <v>56266.517999999996</v>
      </c>
      <c r="D17" s="82">
        <v>520537.82500000001</v>
      </c>
      <c r="E17" s="95">
        <f t="shared" si="0"/>
        <v>72.296920138888893</v>
      </c>
      <c r="F17" s="82">
        <f t="shared" si="1"/>
        <v>378700</v>
      </c>
      <c r="G17" s="82">
        <f t="shared" si="2"/>
        <v>27939.741999999991</v>
      </c>
      <c r="H17" s="82">
        <f t="shared" si="3"/>
        <v>264366.72899999999</v>
      </c>
      <c r="I17" s="111">
        <f t="shared" si="4"/>
        <v>69.809012146818063</v>
      </c>
      <c r="J17" s="82">
        <f>+N17+R17+V17+Z17+AD17+AH17+AL17+AP17+AT17+AX17+BB17</f>
        <v>341300</v>
      </c>
      <c r="K17" s="82">
        <f>+O17+S17+W17+AA17+AE17+AI17+AM17+AQ17+AU17+AY17+BC17</f>
        <v>28326.776000000005</v>
      </c>
      <c r="L17" s="82">
        <f>+P17+T17+X17+AB17+AF17+AJ17+AN17+AR17+AV17+AZ17+BD17</f>
        <v>256171.09600000002</v>
      </c>
      <c r="M17" s="95">
        <f t="shared" si="5"/>
        <v>75.05745561089951</v>
      </c>
      <c r="N17" s="82">
        <v>128000</v>
      </c>
      <c r="O17" s="82">
        <v>8884.5300000000007</v>
      </c>
      <c r="P17" s="82">
        <v>86198.739000000001</v>
      </c>
      <c r="Q17" s="111">
        <f>P17/N17%</f>
        <v>67.342764843750004</v>
      </c>
      <c r="R17" s="82">
        <v>37000</v>
      </c>
      <c r="S17" s="82">
        <v>3597.8710000000001</v>
      </c>
      <c r="T17" s="82">
        <v>26927.115000000002</v>
      </c>
      <c r="U17" s="111">
        <f>T17/R17%</f>
        <v>72.775986486486488</v>
      </c>
      <c r="V17" s="82">
        <v>16000</v>
      </c>
      <c r="W17" s="82">
        <v>1156.19</v>
      </c>
      <c r="X17" s="82">
        <v>12114.266</v>
      </c>
      <c r="Y17" s="111">
        <f>X17/V17%</f>
        <v>75.7141625</v>
      </c>
      <c r="Z17" s="82">
        <v>28000</v>
      </c>
      <c r="AA17" s="82">
        <v>2475.2350000000001</v>
      </c>
      <c r="AB17" s="82">
        <v>23913.960999999999</v>
      </c>
      <c r="AC17" s="111">
        <f>AB17/Z17%</f>
        <v>85.407003571428575</v>
      </c>
      <c r="AD17" s="82">
        <v>20000</v>
      </c>
      <c r="AE17" s="82">
        <v>1638.31</v>
      </c>
      <c r="AF17" s="82">
        <v>13874.298000000001</v>
      </c>
      <c r="AG17" s="111">
        <f>AF17/AD17%</f>
        <v>69.371490000000009</v>
      </c>
      <c r="AH17" s="82">
        <v>27000</v>
      </c>
      <c r="AI17" s="82">
        <v>2583.8620000000001</v>
      </c>
      <c r="AJ17" s="82">
        <v>23990.451000000001</v>
      </c>
      <c r="AK17" s="111">
        <f>AJ17/AH17%</f>
        <v>88.853522222222225</v>
      </c>
      <c r="AL17" s="82">
        <v>22000</v>
      </c>
      <c r="AM17" s="82">
        <v>1537.789</v>
      </c>
      <c r="AN17" s="82">
        <v>14080.187</v>
      </c>
      <c r="AO17" s="111">
        <f>AN17/AL17%</f>
        <v>64.00085</v>
      </c>
      <c r="AP17" s="82">
        <v>20900</v>
      </c>
      <c r="AQ17" s="82">
        <v>2152.9720000000002</v>
      </c>
      <c r="AR17" s="82">
        <v>18414.001</v>
      </c>
      <c r="AS17" s="111">
        <f>AR17/AP17%</f>
        <v>88.105267942583737</v>
      </c>
      <c r="AT17" s="82">
        <v>18700</v>
      </c>
      <c r="AU17" s="82">
        <v>1718.0309999999999</v>
      </c>
      <c r="AV17" s="82">
        <v>13542.496999999999</v>
      </c>
      <c r="AW17" s="111">
        <f>AV17/AT17%</f>
        <v>72.419770053475929</v>
      </c>
      <c r="AX17" s="82">
        <v>14000</v>
      </c>
      <c r="AY17" s="82">
        <v>1519.7339999999999</v>
      </c>
      <c r="AZ17" s="82">
        <v>14051.218999999999</v>
      </c>
      <c r="BA17" s="111">
        <f>AZ17/AX17%</f>
        <v>100.36584999999999</v>
      </c>
      <c r="BB17" s="82">
        <v>9700</v>
      </c>
      <c r="BC17" s="82">
        <v>1062.252</v>
      </c>
      <c r="BD17" s="82">
        <v>9064.3619999999992</v>
      </c>
      <c r="BE17" s="111">
        <f t="shared" si="6"/>
        <v>93.447030927835044</v>
      </c>
    </row>
    <row r="18" spans="1:57" s="108" customFormat="1" x14ac:dyDescent="0.25">
      <c r="A18" s="110" t="s">
        <v>70</v>
      </c>
      <c r="B18" s="82">
        <v>410000</v>
      </c>
      <c r="C18" s="82">
        <v>32087.174999999999</v>
      </c>
      <c r="D18" s="82">
        <v>280478.31599999999</v>
      </c>
      <c r="E18" s="95">
        <f t="shared" si="0"/>
        <v>68.409345365853653</v>
      </c>
      <c r="F18" s="82">
        <f t="shared" si="1"/>
        <v>407000</v>
      </c>
      <c r="G18" s="82">
        <f t="shared" si="2"/>
        <v>32087.174999999999</v>
      </c>
      <c r="H18" s="82">
        <f t="shared" si="3"/>
        <v>279337.31599999999</v>
      </c>
      <c r="I18" s="111">
        <f t="shared" si="4"/>
        <v>68.633247174447177</v>
      </c>
      <c r="J18" s="82">
        <f>+N18+R18+V18+Z18+AD18+AH18+AL18+AP18+AT18+AX18+BB18</f>
        <v>3000</v>
      </c>
      <c r="K18" s="82">
        <f>+O18+S18+W18+AA18+AE18+AI18+AM18+AQ18+AU18+AY18+BC18</f>
        <v>0</v>
      </c>
      <c r="L18" s="82">
        <f>+P18+T18+X18+AB18+AF18+AJ18+AN18+AR18+AV18+AZ18+BD18</f>
        <v>1141</v>
      </c>
      <c r="M18" s="95">
        <f t="shared" si="5"/>
        <v>38.033333333333331</v>
      </c>
      <c r="N18" s="82"/>
      <c r="O18" s="82"/>
      <c r="P18" s="82"/>
      <c r="Q18" s="111"/>
      <c r="R18" s="82"/>
      <c r="S18" s="82"/>
      <c r="T18" s="82"/>
      <c r="U18" s="111"/>
      <c r="V18" s="82"/>
      <c r="W18" s="82"/>
      <c r="X18" s="82"/>
      <c r="Y18" s="111"/>
      <c r="Z18" s="82"/>
      <c r="AA18" s="82"/>
      <c r="AB18" s="82"/>
      <c r="AC18" s="111"/>
      <c r="AD18" s="82"/>
      <c r="AE18" s="82"/>
      <c r="AF18" s="82"/>
      <c r="AG18" s="111"/>
      <c r="AH18" s="82"/>
      <c r="AI18" s="82"/>
      <c r="AJ18" s="82"/>
      <c r="AK18" s="111"/>
      <c r="AL18" s="82"/>
      <c r="AM18" s="82"/>
      <c r="AN18" s="82"/>
      <c r="AO18" s="111"/>
      <c r="AP18" s="82"/>
      <c r="AQ18" s="82"/>
      <c r="AR18" s="82"/>
      <c r="AS18" s="111"/>
      <c r="AT18" s="82"/>
      <c r="AU18" s="82"/>
      <c r="AV18" s="82"/>
      <c r="AW18" s="111"/>
      <c r="AX18" s="82">
        <v>3000</v>
      </c>
      <c r="AY18" s="82">
        <v>0</v>
      </c>
      <c r="AZ18" s="82">
        <v>1141</v>
      </c>
      <c r="BA18" s="111">
        <f>AZ18/AX18%</f>
        <v>38.033333333333331</v>
      </c>
      <c r="BB18" s="82"/>
      <c r="BC18" s="82"/>
      <c r="BD18" s="82"/>
      <c r="BE18" s="111"/>
    </row>
    <row r="19" spans="1:57" s="108" customFormat="1" x14ac:dyDescent="0.25">
      <c r="A19" s="184" t="s">
        <v>7</v>
      </c>
      <c r="B19" s="83">
        <v>164000</v>
      </c>
      <c r="C19" s="83">
        <v>16548.407999999999</v>
      </c>
      <c r="D19" s="83">
        <v>145697.10999999999</v>
      </c>
      <c r="E19" s="97">
        <f t="shared" si="0"/>
        <v>88.839701219512193</v>
      </c>
      <c r="F19" s="83">
        <f t="shared" si="1"/>
        <v>162800</v>
      </c>
      <c r="G19" s="83">
        <f t="shared" si="2"/>
        <v>16685.327999999998</v>
      </c>
      <c r="H19" s="83">
        <f t="shared" si="3"/>
        <v>145240.71</v>
      </c>
      <c r="I19" s="111">
        <f t="shared" si="4"/>
        <v>89.214195331695322</v>
      </c>
      <c r="J19" s="83">
        <f>+N19+R19+V19+Z19+AD19+AH19+AL19+AP19+AT19+AX19+BB19</f>
        <v>1200</v>
      </c>
      <c r="K19" s="83">
        <f>+O19+S19+W19+AA19+AE19+AI19+AM19+AQ19+AU19+AY19+BC19</f>
        <v>-136.91999999999999</v>
      </c>
      <c r="L19" s="83">
        <f>+P19+T19+X19+AB19+AF19+AJ19+AN19+AR19+AV19+AZ19+BD19</f>
        <v>456.4</v>
      </c>
      <c r="M19" s="97">
        <f t="shared" si="5"/>
        <v>38.033333333333331</v>
      </c>
      <c r="N19" s="83"/>
      <c r="O19" s="83"/>
      <c r="P19" s="83"/>
      <c r="Q19" s="111"/>
      <c r="R19" s="83"/>
      <c r="S19" s="83"/>
      <c r="T19" s="83"/>
      <c r="U19" s="111"/>
      <c r="V19" s="83"/>
      <c r="W19" s="83"/>
      <c r="X19" s="83"/>
      <c r="Y19" s="111"/>
      <c r="Z19" s="83"/>
      <c r="AA19" s="83"/>
      <c r="AB19" s="83"/>
      <c r="AC19" s="111"/>
      <c r="AD19" s="83"/>
      <c r="AE19" s="83"/>
      <c r="AF19" s="83"/>
      <c r="AG19" s="111"/>
      <c r="AH19" s="83"/>
      <c r="AI19" s="83"/>
      <c r="AJ19" s="83"/>
      <c r="AK19" s="111"/>
      <c r="AL19" s="83"/>
      <c r="AM19" s="83"/>
      <c r="AN19" s="83"/>
      <c r="AO19" s="111"/>
      <c r="AP19" s="83"/>
      <c r="AQ19" s="83"/>
      <c r="AR19" s="83"/>
      <c r="AS19" s="111"/>
      <c r="AT19" s="83"/>
      <c r="AU19" s="83"/>
      <c r="AV19" s="83"/>
      <c r="AW19" s="111"/>
      <c r="AX19" s="83">
        <v>1200</v>
      </c>
      <c r="AY19" s="83">
        <v>-136.91999999999999</v>
      </c>
      <c r="AZ19" s="83">
        <v>456.4</v>
      </c>
      <c r="BA19" s="111">
        <f>AZ19/AX19%</f>
        <v>38.033333333333331</v>
      </c>
      <c r="BB19" s="83"/>
      <c r="BC19" s="83"/>
      <c r="BD19" s="83"/>
      <c r="BE19" s="111"/>
    </row>
    <row r="20" spans="1:57" s="183" customFormat="1" x14ac:dyDescent="0.25">
      <c r="A20" s="184" t="s">
        <v>8</v>
      </c>
      <c r="B20" s="83">
        <f>+B18-B19</f>
        <v>246000</v>
      </c>
      <c r="C20" s="83">
        <f>+C18-C19</f>
        <v>15538.767</v>
      </c>
      <c r="D20" s="83">
        <f>+D18-D19</f>
        <v>134781.20600000001</v>
      </c>
      <c r="E20" s="97">
        <f t="shared" si="0"/>
        <v>54.789108130081303</v>
      </c>
      <c r="F20" s="83">
        <f t="shared" si="1"/>
        <v>244200</v>
      </c>
      <c r="G20" s="83">
        <f t="shared" si="2"/>
        <v>15401.847</v>
      </c>
      <c r="H20" s="83">
        <f t="shared" si="3"/>
        <v>134096.606</v>
      </c>
      <c r="I20" s="185">
        <f t="shared" si="4"/>
        <v>54.912615069615072</v>
      </c>
      <c r="J20" s="83">
        <f>+N20+R20+V20+Z20+AD20+AH20+AL20+AP20+AT20+AX20+BB20</f>
        <v>1800</v>
      </c>
      <c r="K20" s="83">
        <f>+O20+S20+W20+AA20+AE20+AI20+AM20+AQ20+AU20+AY20+BC20</f>
        <v>136.91999999999999</v>
      </c>
      <c r="L20" s="83">
        <f>+P20+T20+X20+AB20+AF20+AJ20+AN20+AR20+AV20+AZ20+BD20</f>
        <v>684.6</v>
      </c>
      <c r="M20" s="97">
        <f t="shared" si="5"/>
        <v>38.033333333333331</v>
      </c>
      <c r="N20" s="83">
        <f>+N18-N19</f>
        <v>0</v>
      </c>
      <c r="O20" s="83">
        <f>+O18-O19</f>
        <v>0</v>
      </c>
      <c r="P20" s="83">
        <f>+P18-P19</f>
        <v>0</v>
      </c>
      <c r="Q20" s="185"/>
      <c r="R20" s="83">
        <f>+R18-R19</f>
        <v>0</v>
      </c>
      <c r="S20" s="83">
        <f>+S18-S19</f>
        <v>0</v>
      </c>
      <c r="T20" s="83">
        <f>+T18-T19</f>
        <v>0</v>
      </c>
      <c r="U20" s="185"/>
      <c r="V20" s="83">
        <f>+V18-V19</f>
        <v>0</v>
      </c>
      <c r="W20" s="83">
        <f>+W18-W19</f>
        <v>0</v>
      </c>
      <c r="X20" s="83">
        <f>+X18-X19</f>
        <v>0</v>
      </c>
      <c r="Y20" s="185"/>
      <c r="Z20" s="83">
        <f>+Z18-Z19</f>
        <v>0</v>
      </c>
      <c r="AA20" s="83">
        <f>+AA18-AA19</f>
        <v>0</v>
      </c>
      <c r="AB20" s="83">
        <f>+AB18-AB19</f>
        <v>0</v>
      </c>
      <c r="AC20" s="185"/>
      <c r="AD20" s="83">
        <f>+AD18-AD19</f>
        <v>0</v>
      </c>
      <c r="AE20" s="83">
        <f>+AE18-AE19</f>
        <v>0</v>
      </c>
      <c r="AF20" s="83">
        <f>+AF18-AF19</f>
        <v>0</v>
      </c>
      <c r="AG20" s="185"/>
      <c r="AH20" s="83">
        <f>+AH18-AH19</f>
        <v>0</v>
      </c>
      <c r="AI20" s="83">
        <f>+AI18-AI19</f>
        <v>0</v>
      </c>
      <c r="AJ20" s="83">
        <f>+AJ18-AJ19</f>
        <v>0</v>
      </c>
      <c r="AK20" s="185"/>
      <c r="AL20" s="83">
        <f>+AL18-AL19</f>
        <v>0</v>
      </c>
      <c r="AM20" s="83">
        <f>+AM18-AM19</f>
        <v>0</v>
      </c>
      <c r="AN20" s="83">
        <f>+AN18-AN19</f>
        <v>0</v>
      </c>
      <c r="AO20" s="185"/>
      <c r="AP20" s="83">
        <f>+AP18-AP19</f>
        <v>0</v>
      </c>
      <c r="AQ20" s="83">
        <f>+AQ18-AQ19</f>
        <v>0</v>
      </c>
      <c r="AR20" s="83">
        <f>+AR18-AR19</f>
        <v>0</v>
      </c>
      <c r="AS20" s="185"/>
      <c r="AT20" s="83">
        <f>+AT18-AT19</f>
        <v>0</v>
      </c>
      <c r="AU20" s="83">
        <f>+AU18-AU19</f>
        <v>0</v>
      </c>
      <c r="AV20" s="83">
        <f>+AV18-AV19</f>
        <v>0</v>
      </c>
      <c r="AW20" s="185"/>
      <c r="AX20" s="83">
        <f>+AX18-AX19</f>
        <v>1800</v>
      </c>
      <c r="AY20" s="83">
        <f>+AY18-AY19</f>
        <v>136.91999999999999</v>
      </c>
      <c r="AZ20" s="83">
        <f>+AZ18-AZ19</f>
        <v>684.6</v>
      </c>
      <c r="BA20" s="185"/>
      <c r="BB20" s="83">
        <f>+BB18-BB19</f>
        <v>0</v>
      </c>
      <c r="BC20" s="83">
        <f>+BC18-BC19</f>
        <v>0</v>
      </c>
      <c r="BD20" s="83">
        <f>+BD18-BD19</f>
        <v>0</v>
      </c>
      <c r="BE20" s="185"/>
    </row>
    <row r="21" spans="1:57" s="108" customFormat="1" x14ac:dyDescent="0.25">
      <c r="A21" s="110" t="s">
        <v>9</v>
      </c>
      <c r="B21" s="82">
        <v>240000</v>
      </c>
      <c r="C21" s="82">
        <v>19558.492999999999</v>
      </c>
      <c r="D21" s="82">
        <v>194370.72500000001</v>
      </c>
      <c r="E21" s="95">
        <f t="shared" si="0"/>
        <v>80.987802083333335</v>
      </c>
      <c r="F21" s="82">
        <f t="shared" si="1"/>
        <v>174685</v>
      </c>
      <c r="G21" s="82">
        <f t="shared" si="2"/>
        <v>4825.1299999999992</v>
      </c>
      <c r="H21" s="82">
        <f t="shared" si="3"/>
        <v>42119.859000000026</v>
      </c>
      <c r="I21" s="111">
        <f t="shared" si="4"/>
        <v>24.111892263216664</v>
      </c>
      <c r="J21" s="82">
        <f>+N21+R21+V21+Z21+AD21+AH21+AL21+AP21+AT21+AX21+BB21</f>
        <v>65315</v>
      </c>
      <c r="K21" s="82">
        <f>+O21+S21+W21+AA21+AE21+AI21+AM21+AQ21+AU21+AY21+BC21</f>
        <v>14733.362999999999</v>
      </c>
      <c r="L21" s="82">
        <f>+P21+T21+X21+AB21+AF21+AJ21+AN21+AR21+AV21+AZ21+BD21</f>
        <v>152250.86599999998</v>
      </c>
      <c r="M21" s="95">
        <f t="shared" si="5"/>
        <v>233.10245119804026</v>
      </c>
      <c r="N21" s="82">
        <v>16635</v>
      </c>
      <c r="O21" s="82">
        <v>1786.6769999999999</v>
      </c>
      <c r="P21" s="82">
        <v>25083.653999999999</v>
      </c>
      <c r="Q21" s="111">
        <f>P21/N21%</f>
        <v>150.78842200180341</v>
      </c>
      <c r="R21" s="82">
        <v>6500</v>
      </c>
      <c r="S21" s="82">
        <v>2932.05</v>
      </c>
      <c r="T21" s="82">
        <v>43957.163999999997</v>
      </c>
      <c r="U21" s="111">
        <f>T21/R21%</f>
        <v>676.26406153846153</v>
      </c>
      <c r="V21" s="82">
        <v>5500</v>
      </c>
      <c r="W21" s="82">
        <v>407.46300000000002</v>
      </c>
      <c r="X21" s="82">
        <v>8650.6530000000002</v>
      </c>
      <c r="Y21" s="111">
        <f>X21/V21%</f>
        <v>157.28460000000001</v>
      </c>
      <c r="Z21" s="82">
        <v>8980</v>
      </c>
      <c r="AA21" s="82">
        <v>2319.4140000000002</v>
      </c>
      <c r="AB21" s="82">
        <v>14711.957</v>
      </c>
      <c r="AC21" s="111">
        <f>AB21/Z21%</f>
        <v>163.83025612472161</v>
      </c>
      <c r="AD21" s="82">
        <v>3500</v>
      </c>
      <c r="AE21" s="82">
        <v>2283.4720000000002</v>
      </c>
      <c r="AF21" s="82">
        <v>11170.3</v>
      </c>
      <c r="AG21" s="111">
        <f>AF21/AD21%</f>
        <v>319.15142857142854</v>
      </c>
      <c r="AH21" s="82">
        <v>5900</v>
      </c>
      <c r="AI21" s="82">
        <v>1229.7260000000001</v>
      </c>
      <c r="AJ21" s="82">
        <v>7328.7669999999998</v>
      </c>
      <c r="AK21" s="111">
        <f>AJ21/AH21%</f>
        <v>124.21638983050848</v>
      </c>
      <c r="AL21" s="82">
        <v>3700</v>
      </c>
      <c r="AM21" s="82">
        <v>372.63</v>
      </c>
      <c r="AN21" s="82">
        <v>3864.1350000000002</v>
      </c>
      <c r="AO21" s="111">
        <f>AN21/AL21%</f>
        <v>104.43608108108108</v>
      </c>
      <c r="AP21" s="82">
        <v>3700</v>
      </c>
      <c r="AQ21" s="82">
        <v>130.816</v>
      </c>
      <c r="AR21" s="82">
        <v>3733.26</v>
      </c>
      <c r="AS21" s="111">
        <f>AR21/AP21%</f>
        <v>100.89891891891892</v>
      </c>
      <c r="AT21" s="82">
        <v>4000</v>
      </c>
      <c r="AU21" s="82">
        <v>2580.15</v>
      </c>
      <c r="AV21" s="82">
        <v>24066.526999999998</v>
      </c>
      <c r="AW21" s="111">
        <f>AV21/AT21%</f>
        <v>601.66317499999991</v>
      </c>
      <c r="AX21" s="82">
        <v>4000</v>
      </c>
      <c r="AY21" s="82">
        <v>526.31600000000003</v>
      </c>
      <c r="AZ21" s="82">
        <v>5892.7160000000003</v>
      </c>
      <c r="BA21" s="111">
        <f>AZ21/AX21%</f>
        <v>147.31790000000001</v>
      </c>
      <c r="BB21" s="82">
        <v>2900</v>
      </c>
      <c r="BC21" s="82">
        <v>164.649</v>
      </c>
      <c r="BD21" s="82">
        <v>3791.7330000000002</v>
      </c>
      <c r="BE21" s="111">
        <f t="shared" si="6"/>
        <v>130.74941379310346</v>
      </c>
    </row>
    <row r="22" spans="1:57" s="108" customFormat="1" x14ac:dyDescent="0.25">
      <c r="A22" s="184" t="s">
        <v>10</v>
      </c>
      <c r="B22" s="83">
        <v>80000</v>
      </c>
      <c r="C22" s="83">
        <v>4944.2579999999998</v>
      </c>
      <c r="D22" s="83">
        <v>35686.372000000003</v>
      </c>
      <c r="E22" s="97">
        <f t="shared" si="0"/>
        <v>44.607965000000007</v>
      </c>
      <c r="F22" s="83">
        <f t="shared" si="1"/>
        <v>55800</v>
      </c>
      <c r="G22" s="83">
        <f t="shared" si="2"/>
        <v>1316.9359999999997</v>
      </c>
      <c r="H22" s="83">
        <f t="shared" si="3"/>
        <v>9751.3780000000042</v>
      </c>
      <c r="I22" s="111">
        <f t="shared" si="4"/>
        <v>17.475587813620081</v>
      </c>
      <c r="J22" s="83">
        <f>+N22+R22+V22+Z22+AD22+AH22+AL22+AP22+AT22+AX22+BB22</f>
        <v>24200</v>
      </c>
      <c r="K22" s="83">
        <f>+O22+S22+W22+AA22+AE22+AI22+AM22+AQ22+AU22+AY22+BC22</f>
        <v>3627.3220000000001</v>
      </c>
      <c r="L22" s="83">
        <f>+P22+T22+X22+AB22+AF22+AJ22+AN22+AR22+AV22+AZ22+BD22</f>
        <v>25934.993999999999</v>
      </c>
      <c r="M22" s="97">
        <f t="shared" si="5"/>
        <v>107.16939669421487</v>
      </c>
      <c r="N22" s="83">
        <v>6500</v>
      </c>
      <c r="O22" s="83">
        <v>1124.9190000000001</v>
      </c>
      <c r="P22" s="83">
        <v>6335.933</v>
      </c>
      <c r="Q22" s="111">
        <f>P22/N22%</f>
        <v>97.475892307692305</v>
      </c>
      <c r="R22" s="83">
        <v>1400</v>
      </c>
      <c r="S22" s="83">
        <v>548.10599999999999</v>
      </c>
      <c r="T22" s="83">
        <v>2768.93</v>
      </c>
      <c r="U22" s="111">
        <f>T22/R22%</f>
        <v>197.78071428571428</v>
      </c>
      <c r="V22" s="83">
        <v>2500</v>
      </c>
      <c r="W22" s="83">
        <v>303.41800000000001</v>
      </c>
      <c r="X22" s="83">
        <v>2721.248</v>
      </c>
      <c r="Y22" s="111">
        <f>X22/V22%</f>
        <v>108.84992</v>
      </c>
      <c r="Z22" s="83">
        <v>3200</v>
      </c>
      <c r="AA22" s="83">
        <v>423.18400000000003</v>
      </c>
      <c r="AB22" s="83">
        <v>2671.8409999999999</v>
      </c>
      <c r="AC22" s="111">
        <f>AB22/Z22%</f>
        <v>83.495031249999997</v>
      </c>
      <c r="AD22" s="83">
        <v>1500</v>
      </c>
      <c r="AE22" s="83">
        <v>361.18200000000002</v>
      </c>
      <c r="AF22" s="83">
        <v>2507.049</v>
      </c>
      <c r="AG22" s="111">
        <f>AF22/AD22%</f>
        <v>167.13659999999999</v>
      </c>
      <c r="AH22" s="83">
        <v>1760</v>
      </c>
      <c r="AI22" s="83">
        <v>250.14599999999999</v>
      </c>
      <c r="AJ22" s="83">
        <v>2035.604</v>
      </c>
      <c r="AK22" s="111">
        <f>AJ22/AH22%</f>
        <v>115.65931818181818</v>
      </c>
      <c r="AL22" s="83">
        <v>1600</v>
      </c>
      <c r="AM22" s="83">
        <v>248.727</v>
      </c>
      <c r="AN22" s="83">
        <v>1627.9010000000001</v>
      </c>
      <c r="AO22" s="111">
        <f>AN22/AL22%</f>
        <v>101.7438125</v>
      </c>
      <c r="AP22" s="83">
        <v>1450</v>
      </c>
      <c r="AQ22" s="83">
        <v>17.209</v>
      </c>
      <c r="AR22" s="83">
        <v>1321.2670000000001</v>
      </c>
      <c r="AS22" s="111">
        <f>AR22/AP22%</f>
        <v>91.121862068965527</v>
      </c>
      <c r="AT22" s="83">
        <v>1550</v>
      </c>
      <c r="AU22" s="83">
        <v>89.412999999999997</v>
      </c>
      <c r="AV22" s="83">
        <v>1228.154</v>
      </c>
      <c r="AW22" s="111">
        <f>AV22/AT22%</f>
        <v>79.235741935483873</v>
      </c>
      <c r="AX22" s="83">
        <v>1840</v>
      </c>
      <c r="AY22" s="83">
        <v>253.48599999999999</v>
      </c>
      <c r="AZ22" s="83">
        <v>2339.2829999999999</v>
      </c>
      <c r="BA22" s="111">
        <f>AZ22/AX22%</f>
        <v>127.13494565217391</v>
      </c>
      <c r="BB22" s="83">
        <v>900</v>
      </c>
      <c r="BC22" s="83">
        <v>7.532</v>
      </c>
      <c r="BD22" s="83">
        <v>377.78399999999999</v>
      </c>
      <c r="BE22" s="111">
        <f t="shared" si="6"/>
        <v>41.975999999999999</v>
      </c>
    </row>
    <row r="23" spans="1:57" s="108" customFormat="1" hidden="1" x14ac:dyDescent="0.25">
      <c r="A23" s="110" t="s">
        <v>109</v>
      </c>
      <c r="B23" s="82">
        <v>118885</v>
      </c>
      <c r="C23" s="82">
        <v>6001.0619999999999</v>
      </c>
      <c r="D23" s="82">
        <v>72200.615999999995</v>
      </c>
      <c r="E23" s="95">
        <f t="shared" si="0"/>
        <v>60.73147663708626</v>
      </c>
      <c r="F23" s="82">
        <f t="shared" si="1"/>
        <v>118885</v>
      </c>
      <c r="G23" s="82">
        <f t="shared" si="2"/>
        <v>3508.1950000000002</v>
      </c>
      <c r="H23" s="82">
        <f t="shared" si="3"/>
        <v>32368.485000000001</v>
      </c>
      <c r="I23" s="111">
        <f t="shared" si="4"/>
        <v>27.226719098288264</v>
      </c>
      <c r="J23" s="82">
        <f>+N23+R23+V23+Z23+AD23+AH23+AL23+AP23+AT23+AX23+BB23</f>
        <v>0</v>
      </c>
      <c r="K23" s="82">
        <f>+O23+S23+W23+AA23+AE23+AI23+AM23+AQ23+AU23+AY23+BC23</f>
        <v>2492.8669999999997</v>
      </c>
      <c r="L23" s="82">
        <f>+P23+T23+X23+AB23+AF23+AJ23+AN23+AR23+AV23+AZ23+BD23</f>
        <v>39832.130999999994</v>
      </c>
      <c r="M23" s="95"/>
      <c r="N23" s="82"/>
      <c r="O23" s="82">
        <v>4.8079999999999998</v>
      </c>
      <c r="P23" s="82">
        <v>85.537999999999997</v>
      </c>
      <c r="Q23" s="111"/>
      <c r="R23" s="82"/>
      <c r="S23" s="82">
        <v>2264.299</v>
      </c>
      <c r="T23" s="82">
        <v>37988.411</v>
      </c>
      <c r="U23" s="111"/>
      <c r="V23" s="82"/>
      <c r="W23" s="82">
        <v>11.904</v>
      </c>
      <c r="X23" s="82">
        <v>93.290999999999997</v>
      </c>
      <c r="Y23" s="111"/>
      <c r="Z23" s="82"/>
      <c r="AA23" s="82">
        <v>15.025</v>
      </c>
      <c r="AB23" s="82">
        <v>78.798000000000002</v>
      </c>
      <c r="AC23" s="111"/>
      <c r="AD23" s="82"/>
      <c r="AE23" s="82">
        <v>49.368000000000002</v>
      </c>
      <c r="AF23" s="82">
        <v>73.924999999999997</v>
      </c>
      <c r="AG23" s="111"/>
      <c r="AH23" s="82"/>
      <c r="AI23" s="82">
        <v>1.25</v>
      </c>
      <c r="AJ23" s="82">
        <v>18.86</v>
      </c>
      <c r="AK23" s="111"/>
      <c r="AL23" s="82"/>
      <c r="AM23" s="82">
        <v>19.792000000000002</v>
      </c>
      <c r="AN23" s="82">
        <v>93.745999999999995</v>
      </c>
      <c r="AO23" s="111"/>
      <c r="AP23" s="82"/>
      <c r="AQ23" s="82">
        <v>2.99</v>
      </c>
      <c r="AR23" s="82">
        <v>35.43</v>
      </c>
      <c r="AS23" s="111"/>
      <c r="AT23" s="82"/>
      <c r="AU23" s="82"/>
      <c r="AV23" s="82">
        <v>28.291</v>
      </c>
      <c r="AW23" s="111"/>
      <c r="AX23" s="82"/>
      <c r="AY23" s="82">
        <v>21.178999999999998</v>
      </c>
      <c r="AZ23" s="82">
        <v>60.929000000000002</v>
      </c>
      <c r="BA23" s="111"/>
      <c r="BB23" s="82"/>
      <c r="BC23" s="82">
        <v>102.252</v>
      </c>
      <c r="BD23" s="82">
        <v>1274.912</v>
      </c>
      <c r="BE23" s="111"/>
    </row>
    <row r="24" spans="1:57" s="108" customFormat="1" hidden="1" x14ac:dyDescent="0.25">
      <c r="A24" s="110" t="s">
        <v>110</v>
      </c>
      <c r="B24" s="83">
        <v>34915</v>
      </c>
      <c r="C24" s="82">
        <v>7934.2290000000003</v>
      </c>
      <c r="D24" s="82">
        <v>77188.494000000006</v>
      </c>
      <c r="E24" s="95">
        <f t="shared" si="0"/>
        <v>221.07545181154234</v>
      </c>
      <c r="F24" s="82">
        <f t="shared" si="1"/>
        <v>0</v>
      </c>
      <c r="G24" s="82">
        <f t="shared" si="2"/>
        <v>1.9999999994979589E-3</v>
      </c>
      <c r="H24" s="82">
        <f t="shared" si="3"/>
        <v>4.0000000008149073E-3</v>
      </c>
      <c r="I24" s="111"/>
      <c r="J24" s="82">
        <f>+N24+R24+V24+Z24+AD24+AH24+AL24+AP24+AT24+AX24+BB24</f>
        <v>34915</v>
      </c>
      <c r="K24" s="82">
        <f>+O24+S24+W24+AA24+AE24+AI24+AM24+AQ24+AU24+AY24+BC24</f>
        <v>7934.2270000000008</v>
      </c>
      <c r="L24" s="82">
        <f>+P24+T24+X24+AB24+AF24+AJ24+AN24+AR24+AV24+AZ24+BD24</f>
        <v>77188.490000000005</v>
      </c>
      <c r="M24" s="95">
        <f t="shared" si="5"/>
        <v>221.07544035514826</v>
      </c>
      <c r="N24" s="83">
        <v>9285</v>
      </c>
      <c r="O24" s="82">
        <v>465.40300000000002</v>
      </c>
      <c r="P24" s="82">
        <v>16648.310000000001</v>
      </c>
      <c r="Q24" s="111"/>
      <c r="R24" s="83">
        <v>4650</v>
      </c>
      <c r="S24" s="82">
        <v>69.245000000000005</v>
      </c>
      <c r="T24" s="82">
        <v>2528.027</v>
      </c>
      <c r="U24" s="111"/>
      <c r="V24" s="83">
        <v>2150</v>
      </c>
      <c r="W24" s="82">
        <v>42.994999999999997</v>
      </c>
      <c r="X24" s="82">
        <v>5267.6909999999998</v>
      </c>
      <c r="Y24" s="111">
        <f>X24/V24%</f>
        <v>245.00888372093021</v>
      </c>
      <c r="Z24" s="83">
        <v>4880</v>
      </c>
      <c r="AA24" s="82">
        <v>1800.9780000000001</v>
      </c>
      <c r="AB24" s="82">
        <v>10537.817999999999</v>
      </c>
      <c r="AC24" s="111"/>
      <c r="AD24" s="83">
        <v>1400</v>
      </c>
      <c r="AE24" s="82">
        <v>1808.9949999999999</v>
      </c>
      <c r="AF24" s="82">
        <v>7864.2280000000001</v>
      </c>
      <c r="AG24" s="111">
        <f>AF24/AD24%</f>
        <v>561.73057142857147</v>
      </c>
      <c r="AH24" s="83">
        <v>3690</v>
      </c>
      <c r="AI24" s="82">
        <v>910.74800000000005</v>
      </c>
      <c r="AJ24" s="82">
        <v>4312.29</v>
      </c>
      <c r="AK24" s="111">
        <f>AJ24/AH24%</f>
        <v>116.86422764227643</v>
      </c>
      <c r="AL24" s="83">
        <v>1500</v>
      </c>
      <c r="AM24" s="82">
        <v>72.733000000000004</v>
      </c>
      <c r="AN24" s="82">
        <v>1557.6559999999999</v>
      </c>
      <c r="AO24" s="111">
        <f>AN24/AL24%</f>
        <v>103.84373333333333</v>
      </c>
      <c r="AP24" s="83">
        <v>1800</v>
      </c>
      <c r="AQ24" s="82">
        <v>75.635000000000005</v>
      </c>
      <c r="AR24" s="82">
        <v>1596.5889999999999</v>
      </c>
      <c r="AS24" s="111">
        <f>AR24/AP24%</f>
        <v>88.69938888888889</v>
      </c>
      <c r="AT24" s="83">
        <v>2000</v>
      </c>
      <c r="AU24" s="82">
        <v>2451.5300000000002</v>
      </c>
      <c r="AV24" s="82">
        <v>22307.462</v>
      </c>
      <c r="AW24" s="111">
        <f>AV24/AT24%</f>
        <v>1115.3731</v>
      </c>
      <c r="AX24" s="83">
        <v>1860</v>
      </c>
      <c r="AY24" s="82">
        <v>224.15100000000001</v>
      </c>
      <c r="AZ24" s="82">
        <v>2875.4259999999999</v>
      </c>
      <c r="BA24" s="111">
        <f>AZ24/AX24%</f>
        <v>154.5927956989247</v>
      </c>
      <c r="BB24" s="83">
        <v>1700</v>
      </c>
      <c r="BC24" s="82">
        <v>11.814</v>
      </c>
      <c r="BD24" s="82">
        <v>1692.9929999999999</v>
      </c>
      <c r="BE24" s="111">
        <f t="shared" si="6"/>
        <v>99.587823529411764</v>
      </c>
    </row>
    <row r="25" spans="1:57" s="108" customFormat="1" hidden="1" x14ac:dyDescent="0.25">
      <c r="A25" s="110" t="s">
        <v>111</v>
      </c>
      <c r="B25" s="82">
        <f>+B21-B22-B23-B24</f>
        <v>6200</v>
      </c>
      <c r="C25" s="82">
        <f>+C21-C22-C23-C24</f>
        <v>678.9439999999986</v>
      </c>
      <c r="D25" s="82">
        <f>+D21-D22-D23-D24</f>
        <v>9295.2430000000022</v>
      </c>
      <c r="E25" s="95">
        <f t="shared" si="0"/>
        <v>149.92327419354842</v>
      </c>
      <c r="F25" s="82">
        <f t="shared" si="1"/>
        <v>0</v>
      </c>
      <c r="G25" s="82">
        <f t="shared" si="2"/>
        <v>-3.0000000020891093E-3</v>
      </c>
      <c r="H25" s="82">
        <f t="shared" si="3"/>
        <v>-7.9999999925348675E-3</v>
      </c>
      <c r="I25" s="111"/>
      <c r="J25" s="82">
        <f>+N25+R25+V25+Z25+AD25+AH25+AL25+AP25+AT25+AX25+BB25</f>
        <v>6200</v>
      </c>
      <c r="K25" s="82">
        <f>+O25+S25+W25+AA25+AE25+AI25+AM25+AQ25+AU25+AY25+BC25</f>
        <v>678.94700000000068</v>
      </c>
      <c r="L25" s="82">
        <f>+P25+T25+X25+AB25+AF25+AJ25+AN25+AR25+AV25+AZ25+BD25</f>
        <v>9295.2509999999947</v>
      </c>
      <c r="M25" s="95">
        <f t="shared" si="5"/>
        <v>149.92340322580637</v>
      </c>
      <c r="N25" s="82">
        <f>+N21-N22-N23-N24</f>
        <v>850</v>
      </c>
      <c r="O25" s="82">
        <f>+O21-O22-O23-O24</f>
        <v>191.5469999999998</v>
      </c>
      <c r="P25" s="82">
        <f>+P21-P22-P23-P24</f>
        <v>2013.872999999996</v>
      </c>
      <c r="Q25" s="111">
        <f>P25/N25%</f>
        <v>236.92623529411716</v>
      </c>
      <c r="R25" s="82">
        <f>+R21-R22-R23-R24</f>
        <v>450</v>
      </c>
      <c r="S25" s="82">
        <f>+S21-S22-S23-S24</f>
        <v>50.400000000000432</v>
      </c>
      <c r="T25" s="82">
        <f>+T21-T22-T23-T24</f>
        <v>671.79599999999664</v>
      </c>
      <c r="U25" s="111">
        <f>T25/R25%</f>
        <v>149.28799999999924</v>
      </c>
      <c r="V25" s="82">
        <f>+V21-V22-V23-V24</f>
        <v>850</v>
      </c>
      <c r="W25" s="82">
        <f>+W21-W22-W23-W24</f>
        <v>49.146000000000022</v>
      </c>
      <c r="X25" s="82">
        <f>+X21-X22-X23-X24</f>
        <v>568.42300000000068</v>
      </c>
      <c r="Y25" s="111">
        <f>X25/V25%</f>
        <v>66.873294117647134</v>
      </c>
      <c r="Z25" s="82">
        <f>+Z21-Z22-Z23-Z24</f>
        <v>900</v>
      </c>
      <c r="AA25" s="82">
        <f>+AA21-AA22-AA23-AA24</f>
        <v>80.227000000000089</v>
      </c>
      <c r="AB25" s="82">
        <f>+AB21-AB22-AB23-AB24</f>
        <v>1423.5</v>
      </c>
      <c r="AC25" s="111">
        <f>AB25/Z25%</f>
        <v>158.16666666666666</v>
      </c>
      <c r="AD25" s="82">
        <f>+AD21-AD22-AD23-AD24</f>
        <v>600</v>
      </c>
      <c r="AE25" s="82">
        <f>+AE21-AE22-AE23-AE24</f>
        <v>63.927000000000362</v>
      </c>
      <c r="AF25" s="82">
        <f>+AF21-AF22-AF23-AF24</f>
        <v>725.09800000000087</v>
      </c>
      <c r="AG25" s="111">
        <f>AF25/AD25%</f>
        <v>120.84966666666681</v>
      </c>
      <c r="AH25" s="82">
        <f>+AH21-AH22-AH23-AH24</f>
        <v>450</v>
      </c>
      <c r="AI25" s="82">
        <f>+AI21-AI22-AI23-AI24</f>
        <v>67.582000000000107</v>
      </c>
      <c r="AJ25" s="82">
        <f>+AJ21-AJ22-AJ23-AJ24</f>
        <v>962.01299999999992</v>
      </c>
      <c r="AK25" s="111">
        <f>AJ25/AH25%</f>
        <v>213.78066666666666</v>
      </c>
      <c r="AL25" s="82">
        <f>+AL21-AL22-AL23-AL24</f>
        <v>600</v>
      </c>
      <c r="AM25" s="82">
        <f>+AM21-AM22-AM23-AM24</f>
        <v>31.377999999999986</v>
      </c>
      <c r="AN25" s="82">
        <f>+AN21-AN22-AN23-AN24</f>
        <v>584.83200000000033</v>
      </c>
      <c r="AO25" s="111">
        <f>AN25/AL25%</f>
        <v>97.472000000000051</v>
      </c>
      <c r="AP25" s="82">
        <f>+AP21-AP22-AP23-AP24</f>
        <v>450</v>
      </c>
      <c r="AQ25" s="82">
        <f>+AQ21-AQ22-AQ23-AQ24</f>
        <v>34.981999999999999</v>
      </c>
      <c r="AR25" s="82">
        <f>+AR21-AR22-AR23-AR24</f>
        <v>779.97400000000061</v>
      </c>
      <c r="AS25" s="111">
        <f>AR25/AP25%</f>
        <v>173.3275555555557</v>
      </c>
      <c r="AT25" s="82">
        <f>+AT21-AT22-AT23-AT24</f>
        <v>450</v>
      </c>
      <c r="AU25" s="82">
        <f>+AU21-AU22-AU23-AU24</f>
        <v>39.20699999999988</v>
      </c>
      <c r="AV25" s="82">
        <f>+AV21-AV22-AV23-AV24</f>
        <v>502.61999999999898</v>
      </c>
      <c r="AW25" s="111">
        <f>AV25/AT25%</f>
        <v>111.6933333333331</v>
      </c>
      <c r="AX25" s="82">
        <f>+AX21-AX22-AX23-AX24</f>
        <v>300</v>
      </c>
      <c r="AY25" s="82">
        <f>+AY21-AY22-AY23-AY24</f>
        <v>27.500000000000028</v>
      </c>
      <c r="AZ25" s="82">
        <f>+AZ21-AZ22-AZ23-AZ24</f>
        <v>617.07800000000043</v>
      </c>
      <c r="BA25" s="111">
        <f>AZ25/AX25%</f>
        <v>205.69266666666681</v>
      </c>
      <c r="BB25" s="82">
        <f>+BB21-BB22-BB23-BB24</f>
        <v>300</v>
      </c>
      <c r="BC25" s="82">
        <f>+BC21-BC22-BC23-BC24</f>
        <v>43.050999999999995</v>
      </c>
      <c r="BD25" s="82">
        <f>+BD21-BD22-BD23-BD24</f>
        <v>446.04400000000032</v>
      </c>
      <c r="BE25" s="111">
        <f t="shared" si="6"/>
        <v>148.68133333333344</v>
      </c>
    </row>
    <row r="26" spans="1:57" s="108" customFormat="1" x14ac:dyDescent="0.25">
      <c r="A26" s="110" t="s">
        <v>11</v>
      </c>
      <c r="B26" s="82">
        <v>620000</v>
      </c>
      <c r="C26" s="82">
        <v>19485.949000000001</v>
      </c>
      <c r="D26" s="82">
        <v>392309.75300000003</v>
      </c>
      <c r="E26" s="95">
        <f t="shared" si="0"/>
        <v>63.275766612903233</v>
      </c>
      <c r="F26" s="82">
        <f t="shared" si="1"/>
        <v>260000</v>
      </c>
      <c r="G26" s="82">
        <f t="shared" si="2"/>
        <v>3804.4259999999995</v>
      </c>
      <c r="H26" s="82">
        <f t="shared" si="3"/>
        <v>193015.22900000005</v>
      </c>
      <c r="I26" s="111">
        <f t="shared" si="4"/>
        <v>74.236626538461564</v>
      </c>
      <c r="J26" s="82">
        <f>+N26+R26+V26+Z26+AD26+AH26+AL26+AP26+AT26+AX26+BB26</f>
        <v>360000</v>
      </c>
      <c r="K26" s="82">
        <f>+O26+S26+W26+AA26+AE26+AI26+AM26+AQ26+AU26+AY26+BC26</f>
        <v>15681.523000000001</v>
      </c>
      <c r="L26" s="82">
        <f>+P26+T26+X26+AB26+AF26+AJ26+AN26+AR26+AV26+AZ26+BD26</f>
        <v>199294.52399999998</v>
      </c>
      <c r="M26" s="95">
        <f t="shared" si="5"/>
        <v>55.35958999999999</v>
      </c>
      <c r="N26" s="82">
        <v>150000</v>
      </c>
      <c r="O26" s="82">
        <v>2975.7310000000002</v>
      </c>
      <c r="P26" s="82">
        <v>44668.205999999998</v>
      </c>
      <c r="Q26" s="111">
        <f>P26/N26%</f>
        <v>29.778803999999997</v>
      </c>
      <c r="R26" s="82">
        <v>30000</v>
      </c>
      <c r="S26" s="82">
        <v>578.62</v>
      </c>
      <c r="T26" s="82">
        <v>23699.556</v>
      </c>
      <c r="U26" s="111">
        <f>T26/R26%</f>
        <v>78.998519999999999</v>
      </c>
      <c r="V26" s="82">
        <v>35000</v>
      </c>
      <c r="W26" s="82">
        <v>3310.596</v>
      </c>
      <c r="X26" s="82">
        <v>22993.396000000001</v>
      </c>
      <c r="Y26" s="111">
        <f>X26/V26%</f>
        <v>65.695417142857139</v>
      </c>
      <c r="Z26" s="82">
        <v>30000</v>
      </c>
      <c r="AA26" s="82">
        <v>1308.0350000000001</v>
      </c>
      <c r="AB26" s="82">
        <v>26285.922999999999</v>
      </c>
      <c r="AC26" s="111">
        <f>AB26/Z26%</f>
        <v>87.619743333333332</v>
      </c>
      <c r="AD26" s="82">
        <v>30000</v>
      </c>
      <c r="AE26" s="82">
        <v>1810.9670000000001</v>
      </c>
      <c r="AF26" s="82">
        <v>14390.293</v>
      </c>
      <c r="AG26" s="111">
        <f>AF26/AD26%</f>
        <v>47.967643333333335</v>
      </c>
      <c r="AH26" s="82">
        <v>10000</v>
      </c>
      <c r="AI26" s="82">
        <v>39.555999999999997</v>
      </c>
      <c r="AJ26" s="82">
        <v>4174.32</v>
      </c>
      <c r="AK26" s="111">
        <f>AJ26/AH26%</f>
        <v>41.743199999999995</v>
      </c>
      <c r="AL26" s="82">
        <v>10000</v>
      </c>
      <c r="AM26" s="82">
        <v>932.57</v>
      </c>
      <c r="AN26" s="82">
        <v>13859.846</v>
      </c>
      <c r="AO26" s="111">
        <f>AN26/AL26%</f>
        <v>138.59845999999999</v>
      </c>
      <c r="AP26" s="82">
        <v>20000</v>
      </c>
      <c r="AQ26" s="82">
        <v>3242.5329999999999</v>
      </c>
      <c r="AR26" s="82">
        <v>19006.766</v>
      </c>
      <c r="AS26" s="111">
        <f>AR26/AP26%</f>
        <v>95.033829999999995</v>
      </c>
      <c r="AT26" s="82">
        <v>15000</v>
      </c>
      <c r="AU26" s="82">
        <v>-549.346</v>
      </c>
      <c r="AV26" s="82">
        <v>5349.1989999999996</v>
      </c>
      <c r="AW26" s="111">
        <f>AV26/AT26%</f>
        <v>35.661326666666668</v>
      </c>
      <c r="AX26" s="82">
        <v>15000</v>
      </c>
      <c r="AY26" s="82">
        <v>1036.5170000000001</v>
      </c>
      <c r="AZ26" s="82">
        <v>15589.489</v>
      </c>
      <c r="BA26" s="111">
        <f>AZ26/AX26%</f>
        <v>103.92992666666666</v>
      </c>
      <c r="BB26" s="82">
        <v>15000</v>
      </c>
      <c r="BC26" s="82">
        <v>995.74400000000003</v>
      </c>
      <c r="BD26" s="82">
        <v>9277.5300000000007</v>
      </c>
      <c r="BE26" s="111">
        <f t="shared" si="6"/>
        <v>61.850200000000001</v>
      </c>
    </row>
    <row r="27" spans="1:57" s="183" customFormat="1" x14ac:dyDescent="0.25">
      <c r="A27" s="110" t="s">
        <v>12</v>
      </c>
      <c r="B27" s="82">
        <v>44000</v>
      </c>
      <c r="C27" s="82">
        <v>6345.2780000000002</v>
      </c>
      <c r="D27" s="82">
        <v>83451.803</v>
      </c>
      <c r="E27" s="95">
        <f t="shared" si="0"/>
        <v>189.66318863636363</v>
      </c>
      <c r="F27" s="82">
        <f t="shared" si="1"/>
        <v>40912</v>
      </c>
      <c r="G27" s="82">
        <f t="shared" si="2"/>
        <v>6093.9610000000002</v>
      </c>
      <c r="H27" s="82">
        <f t="shared" si="3"/>
        <v>78049.532999999996</v>
      </c>
      <c r="I27" s="111">
        <f t="shared" si="4"/>
        <v>190.77418116933904</v>
      </c>
      <c r="J27" s="82">
        <f>+N27+R27+V27+Z27+AD27+AH27+AL27+AP27+AT27+AX27+BB27</f>
        <v>3088</v>
      </c>
      <c r="K27" s="82">
        <f>+O27+S27+W27+AA27+AE27+AI27+AM27+AQ27+AU27+AY27+BC27</f>
        <v>251.31699999999998</v>
      </c>
      <c r="L27" s="82">
        <f>+P27+T27+X27+AB27+AF27+AJ27+AN27+AR27+AV27+AZ27+BD27</f>
        <v>5402.27</v>
      </c>
      <c r="M27" s="95">
        <f t="shared" si="5"/>
        <v>174.94397668393785</v>
      </c>
      <c r="N27" s="82">
        <v>980</v>
      </c>
      <c r="O27" s="82">
        <v>16.2</v>
      </c>
      <c r="P27" s="82">
        <v>645.63499999999999</v>
      </c>
      <c r="Q27" s="185">
        <f>P27/N27%</f>
        <v>65.881122448979582</v>
      </c>
      <c r="R27" s="82">
        <v>450</v>
      </c>
      <c r="S27" s="82">
        <v>0</v>
      </c>
      <c r="T27" s="82">
        <v>941.99800000000005</v>
      </c>
      <c r="U27" s="111">
        <f>T27/R27%</f>
        <v>209.3328888888889</v>
      </c>
      <c r="V27" s="82">
        <v>270</v>
      </c>
      <c r="W27" s="82">
        <v>76.995999999999995</v>
      </c>
      <c r="X27" s="82">
        <v>964.24599999999998</v>
      </c>
      <c r="Y27" s="185">
        <f>X27/V27%</f>
        <v>357.12814814814811</v>
      </c>
      <c r="Z27" s="82">
        <v>130</v>
      </c>
      <c r="AA27" s="82">
        <v>19.951000000000001</v>
      </c>
      <c r="AB27" s="82">
        <v>869.03599999999994</v>
      </c>
      <c r="AC27" s="111">
        <f>AB27/Z27%</f>
        <v>668.48923076923074</v>
      </c>
      <c r="AD27" s="82">
        <v>38</v>
      </c>
      <c r="AE27" s="82">
        <v>0</v>
      </c>
      <c r="AF27" s="82">
        <v>101.303</v>
      </c>
      <c r="AG27" s="185">
        <f>AF27/AD27%</f>
        <v>266.58684210526314</v>
      </c>
      <c r="AH27" s="82">
        <v>170</v>
      </c>
      <c r="AI27" s="82">
        <v>0.14699999999999999</v>
      </c>
      <c r="AJ27" s="82">
        <v>138.26</v>
      </c>
      <c r="AK27" s="185">
        <f>AJ27/AH27%</f>
        <v>81.329411764705881</v>
      </c>
      <c r="AL27" s="82">
        <v>60</v>
      </c>
      <c r="AM27" s="82"/>
      <c r="AN27" s="82">
        <v>57.564</v>
      </c>
      <c r="AO27" s="185">
        <f>AN27/AL27%</f>
        <v>95.94</v>
      </c>
      <c r="AP27" s="82">
        <v>50</v>
      </c>
      <c r="AQ27" s="82"/>
      <c r="AR27" s="82"/>
      <c r="AS27" s="185"/>
      <c r="AT27" s="82">
        <v>900</v>
      </c>
      <c r="AU27" s="82">
        <v>101.435</v>
      </c>
      <c r="AV27" s="82">
        <v>268.01400000000001</v>
      </c>
      <c r="AW27" s="185">
        <f>AV27/AT27%</f>
        <v>29.779333333333334</v>
      </c>
      <c r="AX27" s="82"/>
      <c r="AY27" s="82">
        <v>36.588000000000001</v>
      </c>
      <c r="AZ27" s="82">
        <v>1375.6990000000001</v>
      </c>
      <c r="BA27" s="185"/>
      <c r="BB27" s="82">
        <v>40</v>
      </c>
      <c r="BC27" s="82">
        <v>0</v>
      </c>
      <c r="BD27" s="82">
        <v>40.515000000000001</v>
      </c>
      <c r="BE27" s="185">
        <f t="shared" si="6"/>
        <v>101.28749999999999</v>
      </c>
    </row>
    <row r="28" spans="1:57" s="183" customFormat="1" hidden="1" x14ac:dyDescent="0.25">
      <c r="A28" s="184" t="s">
        <v>112</v>
      </c>
      <c r="B28" s="82"/>
      <c r="C28" s="82"/>
      <c r="D28" s="82"/>
      <c r="E28" s="95"/>
      <c r="F28" s="82">
        <f t="shared" si="1"/>
        <v>0</v>
      </c>
      <c r="G28" s="82">
        <f t="shared" si="2"/>
        <v>0</v>
      </c>
      <c r="H28" s="82">
        <f t="shared" si="3"/>
        <v>-836.899</v>
      </c>
      <c r="I28" s="111" t="e">
        <f t="shared" si="4"/>
        <v>#DIV/0!</v>
      </c>
      <c r="J28" s="82">
        <f>+N28+R28+V28+Z28+AD28+AH28+AL28+AP28+AT28+AX28+BB28</f>
        <v>0</v>
      </c>
      <c r="K28" s="82">
        <f>+O28+S28+W28+AA28+AE28+AI28+AM28+AQ28+AU28+AY28+BC28</f>
        <v>0</v>
      </c>
      <c r="L28" s="82">
        <f>+P28+T28+X28+AB28+AF28+AJ28+AN28+AR28+AV28+AZ28+BD28</f>
        <v>836.899</v>
      </c>
      <c r="M28" s="95"/>
      <c r="N28" s="82"/>
      <c r="O28" s="82"/>
      <c r="P28" s="82">
        <v>32.817999999999998</v>
      </c>
      <c r="Q28" s="185"/>
      <c r="R28" s="82"/>
      <c r="S28" s="82"/>
      <c r="T28" s="82">
        <v>317.53500000000003</v>
      </c>
      <c r="U28" s="111"/>
      <c r="V28" s="82"/>
      <c r="W28" s="82">
        <v>0</v>
      </c>
      <c r="X28" s="82">
        <v>422.79</v>
      </c>
      <c r="Y28" s="185"/>
      <c r="Z28" s="82"/>
      <c r="AA28" s="82"/>
      <c r="AB28" s="82">
        <v>0</v>
      </c>
      <c r="AC28" s="185"/>
      <c r="AD28" s="82"/>
      <c r="AE28" s="82"/>
      <c r="AF28" s="82"/>
      <c r="AG28" s="185"/>
      <c r="AH28" s="82"/>
      <c r="AI28" s="82"/>
      <c r="AJ28" s="82"/>
      <c r="AK28" s="185"/>
      <c r="AL28" s="82"/>
      <c r="AM28" s="82"/>
      <c r="AN28" s="82"/>
      <c r="AO28" s="185"/>
      <c r="AP28" s="82"/>
      <c r="AQ28" s="82"/>
      <c r="AR28" s="82"/>
      <c r="AS28" s="185"/>
      <c r="AT28" s="82"/>
      <c r="AU28" s="82"/>
      <c r="AV28" s="82">
        <v>63.756</v>
      </c>
      <c r="AW28" s="185"/>
      <c r="AX28" s="82"/>
      <c r="AY28" s="82"/>
      <c r="AZ28" s="82"/>
      <c r="BA28" s="185"/>
      <c r="BB28" s="82"/>
      <c r="BC28" s="82"/>
      <c r="BD28" s="82"/>
      <c r="BE28" s="185"/>
    </row>
    <row r="29" spans="1:57" s="108" customFormat="1" x14ac:dyDescent="0.25">
      <c r="A29" s="110" t="s">
        <v>71</v>
      </c>
      <c r="B29" s="82">
        <v>6000</v>
      </c>
      <c r="C29" s="82">
        <v>448.36500000000001</v>
      </c>
      <c r="D29" s="82">
        <v>4333.6989999999996</v>
      </c>
      <c r="E29" s="95">
        <f t="shared" si="0"/>
        <v>72.228316666666657</v>
      </c>
      <c r="F29" s="82">
        <f t="shared" si="1"/>
        <v>0</v>
      </c>
      <c r="G29" s="82">
        <f t="shared" si="2"/>
        <v>0</v>
      </c>
      <c r="H29" s="82">
        <f t="shared" si="3"/>
        <v>0</v>
      </c>
      <c r="I29" s="111"/>
      <c r="J29" s="82">
        <f>+N29+R29+V29+Z29+AD29+AH29+AL29+AP29+AT29+AX29+BB29</f>
        <v>6000</v>
      </c>
      <c r="K29" s="82">
        <f>+O29+S29+W29+AA29+AE29+AI29+AM29+AQ29+AU29+AY29+BC29</f>
        <v>448.36500000000001</v>
      </c>
      <c r="L29" s="82">
        <f>+P29+T29+X29+AB29+AF29+AJ29+AN29+AR29+AV29+AZ29+BD29</f>
        <v>4333.6990000000005</v>
      </c>
      <c r="M29" s="95">
        <f t="shared" si="5"/>
        <v>72.228316666666672</v>
      </c>
      <c r="N29" s="82">
        <v>5780</v>
      </c>
      <c r="O29" s="82">
        <v>415.69499999999999</v>
      </c>
      <c r="P29" s="82">
        <v>4246.1390000000001</v>
      </c>
      <c r="Q29" s="111">
        <f>P29/N29%</f>
        <v>73.462612456747408</v>
      </c>
      <c r="R29" s="82"/>
      <c r="S29" s="82"/>
      <c r="T29" s="82"/>
      <c r="U29" s="111"/>
      <c r="V29" s="82"/>
      <c r="W29" s="82"/>
      <c r="X29" s="82"/>
      <c r="Y29" s="111"/>
      <c r="Z29" s="82"/>
      <c r="AA29" s="82"/>
      <c r="AB29" s="82"/>
      <c r="AC29" s="111"/>
      <c r="AD29" s="82"/>
      <c r="AE29" s="82"/>
      <c r="AF29" s="82">
        <v>0</v>
      </c>
      <c r="AG29" s="111"/>
      <c r="AH29" s="82"/>
      <c r="AI29" s="82"/>
      <c r="AJ29" s="82">
        <v>0</v>
      </c>
      <c r="AK29" s="111"/>
      <c r="AL29" s="82">
        <v>100</v>
      </c>
      <c r="AM29" s="82"/>
      <c r="AN29" s="82"/>
      <c r="AO29" s="111"/>
      <c r="AP29" s="82"/>
      <c r="AQ29" s="82"/>
      <c r="AR29" s="82"/>
      <c r="AS29" s="111">
        <v>0</v>
      </c>
      <c r="AT29" s="82"/>
      <c r="AU29" s="82"/>
      <c r="AV29" s="82"/>
      <c r="AW29" s="111"/>
      <c r="AX29" s="82"/>
      <c r="AY29" s="82"/>
      <c r="AZ29" s="82"/>
      <c r="BA29" s="111"/>
      <c r="BB29" s="82">
        <v>120</v>
      </c>
      <c r="BC29" s="82">
        <v>32.67</v>
      </c>
      <c r="BD29" s="82">
        <v>87.56</v>
      </c>
      <c r="BE29" s="111">
        <f t="shared" si="6"/>
        <v>72.966666666666669</v>
      </c>
    </row>
    <row r="30" spans="1:57" s="108" customFormat="1" x14ac:dyDescent="0.25">
      <c r="A30" s="110" t="s">
        <v>72</v>
      </c>
      <c r="B30" s="82">
        <f>+B31+B32</f>
        <v>290000</v>
      </c>
      <c r="C30" s="82">
        <f>+C31+C32</f>
        <v>25684.082000000002</v>
      </c>
      <c r="D30" s="82">
        <f>+D31+D32</f>
        <v>325219.21999999997</v>
      </c>
      <c r="E30" s="95">
        <f t="shared" si="0"/>
        <v>112.14455862068965</v>
      </c>
      <c r="F30" s="82">
        <f t="shared" si="1"/>
        <v>85773</v>
      </c>
      <c r="G30" s="82">
        <f t="shared" si="2"/>
        <v>5742.6860000000015</v>
      </c>
      <c r="H30" s="82">
        <f t="shared" si="3"/>
        <v>108277.63499999998</v>
      </c>
      <c r="I30" s="111">
        <f t="shared" si="4"/>
        <v>126.23743485712285</v>
      </c>
      <c r="J30" s="82">
        <f>+N30+R30+V30+Z30+AD30+AH30+AL30+AP30+AT30+AX30+BB30</f>
        <v>204227</v>
      </c>
      <c r="K30" s="82">
        <f>+O30+S30+W30+AA30+AE30+AI30+AM30+AQ30+AU30+AY30+BC30</f>
        <v>19941.396000000001</v>
      </c>
      <c r="L30" s="82">
        <f>+P30+T30+X30+AB30+AF30+AJ30+AN30+AR30+AV30+AZ30+BD30</f>
        <v>216941.58499999999</v>
      </c>
      <c r="M30" s="95">
        <f t="shared" si="5"/>
        <v>106.22571207528877</v>
      </c>
      <c r="N30" s="82">
        <f>+N31+N32</f>
        <v>48000</v>
      </c>
      <c r="O30" s="82">
        <f>+O31+O32</f>
        <v>6938.6539999999995</v>
      </c>
      <c r="P30" s="82">
        <f>+P31+P32</f>
        <v>56482.012000000002</v>
      </c>
      <c r="Q30" s="111">
        <f>P30/N30%</f>
        <v>117.67085833333334</v>
      </c>
      <c r="R30" s="82">
        <f>+R31+R32</f>
        <v>18000</v>
      </c>
      <c r="S30" s="82">
        <f>+S31+S32</f>
        <v>1461.33</v>
      </c>
      <c r="T30" s="82">
        <f>+T31+T32</f>
        <v>18195.699000000001</v>
      </c>
      <c r="U30" s="111">
        <f>T30/R30%</f>
        <v>101.08721666666666</v>
      </c>
      <c r="V30" s="82">
        <f>+V31+V32</f>
        <v>13000</v>
      </c>
      <c r="W30" s="82">
        <f>+W31+W32</f>
        <v>1356.154</v>
      </c>
      <c r="X30" s="82">
        <f>+X31+X32</f>
        <v>13101.351999999999</v>
      </c>
      <c r="Y30" s="111">
        <f>X30/V30%</f>
        <v>100.77963076923076</v>
      </c>
      <c r="Z30" s="82">
        <f>+Z31+Z32</f>
        <v>31977</v>
      </c>
      <c r="AA30" s="82">
        <f>+AA31+AA32</f>
        <v>1465.921</v>
      </c>
      <c r="AB30" s="82">
        <f>+AB31+AB32</f>
        <v>28891.248</v>
      </c>
      <c r="AC30" s="111">
        <f>AB30/Z30%</f>
        <v>90.350089126559723</v>
      </c>
      <c r="AD30" s="82">
        <f>+AD31+AD32</f>
        <v>19700</v>
      </c>
      <c r="AE30" s="82">
        <f>+AE31+AE32</f>
        <v>1009.6010000000001</v>
      </c>
      <c r="AF30" s="82">
        <f>+AF31+AF32</f>
        <v>23992.368000000002</v>
      </c>
      <c r="AG30" s="111">
        <f>AF30/AD30%</f>
        <v>121.78867005076144</v>
      </c>
      <c r="AH30" s="82">
        <f>+AH31+AH32</f>
        <v>17000</v>
      </c>
      <c r="AI30" s="82">
        <f>+AI31+AI32</f>
        <v>1215.7530000000002</v>
      </c>
      <c r="AJ30" s="82">
        <f>+AJ31+AJ32</f>
        <v>22540.749</v>
      </c>
      <c r="AK30" s="111">
        <f>AJ30/AH30%</f>
        <v>132.59264117647058</v>
      </c>
      <c r="AL30" s="82">
        <f>+AL31+AL32</f>
        <v>10500</v>
      </c>
      <c r="AM30" s="82">
        <f>+AM31+AM32</f>
        <v>1343.941</v>
      </c>
      <c r="AN30" s="82">
        <f>+AN31+AN32</f>
        <v>9744.0820000000003</v>
      </c>
      <c r="AO30" s="111">
        <f>AN30/AL30%</f>
        <v>92.800780952380961</v>
      </c>
      <c r="AP30" s="82">
        <f>+AP31+AP32</f>
        <v>10900</v>
      </c>
      <c r="AQ30" s="82">
        <f>+AQ31+AQ32</f>
        <v>2126.9110000000001</v>
      </c>
      <c r="AR30" s="82">
        <f>+AR31+AR32</f>
        <v>15781.449000000001</v>
      </c>
      <c r="AS30" s="111">
        <f>AR30/AP30%</f>
        <v>144.78393577981652</v>
      </c>
      <c r="AT30" s="82">
        <f>+AT31+AT32</f>
        <v>11000</v>
      </c>
      <c r="AU30" s="82">
        <f>+AU31+AU32</f>
        <v>898.43799999999999</v>
      </c>
      <c r="AV30" s="82">
        <f>+AV31+AV32</f>
        <v>10635.241</v>
      </c>
      <c r="AW30" s="111">
        <f>AV30/AT30%</f>
        <v>96.684009090909086</v>
      </c>
      <c r="AX30" s="82">
        <f>+AX31+AX32</f>
        <v>10500</v>
      </c>
      <c r="AY30" s="82">
        <f>+AY31+AY32</f>
        <v>835.13</v>
      </c>
      <c r="AZ30" s="82">
        <f>+AZ31+AZ32</f>
        <v>8702.7240000000002</v>
      </c>
      <c r="BA30" s="111">
        <f>AZ30/AX30%</f>
        <v>82.883085714285713</v>
      </c>
      <c r="BB30" s="82">
        <f>+BB31+BB32</f>
        <v>13650</v>
      </c>
      <c r="BC30" s="82">
        <f>+BC31+BC32</f>
        <v>1289.5630000000001</v>
      </c>
      <c r="BD30" s="82">
        <f>+BD31+BD32</f>
        <v>8874.6610000000001</v>
      </c>
      <c r="BE30" s="111">
        <f t="shared" si="6"/>
        <v>65.015831501831499</v>
      </c>
    </row>
    <row r="31" spans="1:57" s="108" customFormat="1" x14ac:dyDescent="0.25">
      <c r="A31" s="110" t="s">
        <v>13</v>
      </c>
      <c r="B31" s="82">
        <v>100000</v>
      </c>
      <c r="C31" s="82">
        <v>11973.142</v>
      </c>
      <c r="D31" s="82">
        <v>116935.105</v>
      </c>
      <c r="E31" s="95">
        <f t="shared" si="0"/>
        <v>116.93510499999999</v>
      </c>
      <c r="F31" s="82">
        <f t="shared" si="1"/>
        <v>44340</v>
      </c>
      <c r="G31" s="82">
        <f t="shared" si="2"/>
        <v>3901.84</v>
      </c>
      <c r="H31" s="82">
        <f t="shared" si="3"/>
        <v>48016.48599999999</v>
      </c>
      <c r="I31" s="111">
        <f t="shared" si="4"/>
        <v>108.29157870996841</v>
      </c>
      <c r="J31" s="82">
        <f>+N31+R31+V31+Z31+AD31+AH31+AL31+AP31+AT31+AX31+BB31</f>
        <v>55660</v>
      </c>
      <c r="K31" s="82">
        <f>+O31+S31+W31+AA31+AE31+AI31+AM31+AQ31+AU31+AY31+BC31</f>
        <v>8071.3019999999997</v>
      </c>
      <c r="L31" s="82">
        <f>+P31+T31+X31+AB31+AF31+AJ31+AN31+AR31+AV31+AZ31+BD31</f>
        <v>68918.619000000006</v>
      </c>
      <c r="M31" s="95">
        <f t="shared" si="5"/>
        <v>123.82073122529646</v>
      </c>
      <c r="N31" s="82">
        <v>6300</v>
      </c>
      <c r="O31" s="82">
        <v>1096.8610000000001</v>
      </c>
      <c r="P31" s="82">
        <v>11700.785</v>
      </c>
      <c r="Q31" s="111">
        <f>P31/N31%</f>
        <v>185.72674603174602</v>
      </c>
      <c r="R31" s="82">
        <v>6300</v>
      </c>
      <c r="S31" s="82">
        <v>969.82799999999997</v>
      </c>
      <c r="T31" s="82">
        <v>10304.235000000001</v>
      </c>
      <c r="U31" s="111">
        <f>T31/R31%</f>
        <v>163.55928571428572</v>
      </c>
      <c r="V31" s="82">
        <v>4000</v>
      </c>
      <c r="W31" s="82">
        <v>720.19500000000005</v>
      </c>
      <c r="X31" s="82">
        <v>5487.4319999999998</v>
      </c>
      <c r="Y31" s="111">
        <f>X31/V31%</f>
        <v>137.1858</v>
      </c>
      <c r="Z31" s="82">
        <v>8000</v>
      </c>
      <c r="AA31" s="82">
        <v>1018.717</v>
      </c>
      <c r="AB31" s="82">
        <v>6882.0469999999996</v>
      </c>
      <c r="AC31" s="111">
        <f>AB31/Z31%</f>
        <v>86.0255875</v>
      </c>
      <c r="AD31" s="82">
        <v>4700</v>
      </c>
      <c r="AE31" s="82">
        <v>649.77200000000005</v>
      </c>
      <c r="AF31" s="82">
        <v>5401.277</v>
      </c>
      <c r="AG31" s="111">
        <f>AF31/AD31%</f>
        <v>114.92078723404255</v>
      </c>
      <c r="AH31" s="82">
        <v>4600</v>
      </c>
      <c r="AI31" s="82">
        <v>829.40300000000002</v>
      </c>
      <c r="AJ31" s="82">
        <v>5696.41</v>
      </c>
      <c r="AK31" s="111">
        <f>AJ31/AH31%</f>
        <v>123.83499999999999</v>
      </c>
      <c r="AL31" s="82">
        <v>2000</v>
      </c>
      <c r="AM31" s="82">
        <v>446.39600000000002</v>
      </c>
      <c r="AN31" s="82">
        <v>3515.413</v>
      </c>
      <c r="AO31" s="111">
        <f>AN31/AL31%</f>
        <v>175.77064999999999</v>
      </c>
      <c r="AP31" s="82">
        <v>4700</v>
      </c>
      <c r="AQ31" s="82">
        <v>638.36400000000003</v>
      </c>
      <c r="AR31" s="82">
        <v>4670.7969999999996</v>
      </c>
      <c r="AS31" s="111">
        <f>AR31/AP31%</f>
        <v>99.378659574468074</v>
      </c>
      <c r="AT31" s="82">
        <v>6200</v>
      </c>
      <c r="AU31" s="82">
        <v>576.53499999999997</v>
      </c>
      <c r="AV31" s="82">
        <v>5681.915</v>
      </c>
      <c r="AW31" s="111">
        <f>AV31/AT31%</f>
        <v>91.643790322580642</v>
      </c>
      <c r="AX31" s="82">
        <v>4360</v>
      </c>
      <c r="AY31" s="82">
        <v>452.26</v>
      </c>
      <c r="AZ31" s="82">
        <v>4647.7839999999997</v>
      </c>
      <c r="BA31" s="111">
        <f>AZ31/AX31%</f>
        <v>106.60055045871559</v>
      </c>
      <c r="BB31" s="82">
        <v>4500</v>
      </c>
      <c r="BC31" s="82">
        <v>672.971</v>
      </c>
      <c r="BD31" s="82">
        <v>4930.5240000000003</v>
      </c>
      <c r="BE31" s="111">
        <f t="shared" si="6"/>
        <v>109.56720000000001</v>
      </c>
    </row>
    <row r="32" spans="1:57" s="108" customFormat="1" x14ac:dyDescent="0.25">
      <c r="A32" s="110" t="s">
        <v>14</v>
      </c>
      <c r="B32" s="82">
        <v>190000</v>
      </c>
      <c r="C32" s="82">
        <v>13710.94</v>
      </c>
      <c r="D32" s="82">
        <v>208284.11499999999</v>
      </c>
      <c r="E32" s="95">
        <f t="shared" si="0"/>
        <v>109.62321842105263</v>
      </c>
      <c r="F32" s="82">
        <f t="shared" si="1"/>
        <v>41433</v>
      </c>
      <c r="G32" s="82">
        <f t="shared" si="2"/>
        <v>1840.8459999999995</v>
      </c>
      <c r="H32" s="82">
        <f t="shared" si="3"/>
        <v>60261.149000000005</v>
      </c>
      <c r="I32" s="111">
        <f t="shared" si="4"/>
        <v>145.44239857118723</v>
      </c>
      <c r="J32" s="82">
        <f>+N32+R32+V32+Z32+AD32+AH32+AL32+AP32+AT32+AX32+BB32</f>
        <v>148567</v>
      </c>
      <c r="K32" s="82">
        <f>+O32+S32+W32+AA32+AE32+AI32+AM32+AQ32+AU32+AY32+BC32</f>
        <v>11870.094000000001</v>
      </c>
      <c r="L32" s="82">
        <f>+P32+T32+X32+AB32+AF32+AJ32+AN32+AR32+AV32+AZ32+BD32</f>
        <v>148022.96599999999</v>
      </c>
      <c r="M32" s="95">
        <f t="shared" si="5"/>
        <v>99.633812354022083</v>
      </c>
      <c r="N32" s="82">
        <v>41700</v>
      </c>
      <c r="O32" s="82">
        <v>5841.7929999999997</v>
      </c>
      <c r="P32" s="82">
        <v>44781.226999999999</v>
      </c>
      <c r="Q32" s="111">
        <f>P32/N32%</f>
        <v>107.38903357314149</v>
      </c>
      <c r="R32" s="82">
        <v>11700</v>
      </c>
      <c r="S32" s="82">
        <v>491.50200000000001</v>
      </c>
      <c r="T32" s="82">
        <f>7833.304+51.46+6.7</f>
        <v>7891.4639999999999</v>
      </c>
      <c r="U32" s="111">
        <f>T32/R32%</f>
        <v>67.448410256410256</v>
      </c>
      <c r="V32" s="82">
        <v>9000</v>
      </c>
      <c r="W32" s="82">
        <f>619.359+16.6</f>
        <v>635.95900000000006</v>
      </c>
      <c r="X32" s="82">
        <f>7267.508+346.412</f>
        <v>7613.92</v>
      </c>
      <c r="Y32" s="111">
        <f>X32/V32%</f>
        <v>84.599111111111114</v>
      </c>
      <c r="Z32" s="82">
        <v>23977</v>
      </c>
      <c r="AA32" s="82">
        <v>447.20400000000001</v>
      </c>
      <c r="AB32" s="82">
        <v>22009.201000000001</v>
      </c>
      <c r="AC32" s="111">
        <f>AB32/Z32%</f>
        <v>91.792972431913924</v>
      </c>
      <c r="AD32" s="82">
        <v>15000</v>
      </c>
      <c r="AE32" s="82">
        <v>359.82900000000001</v>
      </c>
      <c r="AF32" s="82">
        <v>18591.091</v>
      </c>
      <c r="AG32" s="111">
        <f>AF32/AD32%</f>
        <v>123.94060666666667</v>
      </c>
      <c r="AH32" s="82">
        <v>12400</v>
      </c>
      <c r="AI32" s="82">
        <f>375.707+10.643</f>
        <v>386.35</v>
      </c>
      <c r="AJ32" s="82">
        <f>16743.466+100.873</f>
        <v>16844.339</v>
      </c>
      <c r="AK32" s="111">
        <f>AJ32/AH32%</f>
        <v>135.8414435483871</v>
      </c>
      <c r="AL32" s="82">
        <v>8500</v>
      </c>
      <c r="AM32" s="82">
        <v>897.54499999999996</v>
      </c>
      <c r="AN32" s="82">
        <v>6228.6689999999999</v>
      </c>
      <c r="AO32" s="111">
        <f>AN32/AL32%</f>
        <v>73.278458823529405</v>
      </c>
      <c r="AP32" s="82">
        <v>6200</v>
      </c>
      <c r="AQ32" s="82">
        <f>1302.987+185.56</f>
        <v>1488.547</v>
      </c>
      <c r="AR32" s="82">
        <f>6508.259+4602.393</f>
        <v>11110.652</v>
      </c>
      <c r="AS32" s="111">
        <f>AR32/AP32%</f>
        <v>179.20406451612902</v>
      </c>
      <c r="AT32" s="82">
        <v>4800</v>
      </c>
      <c r="AU32" s="82">
        <v>321.90300000000002</v>
      </c>
      <c r="AV32" s="82">
        <v>4953.326</v>
      </c>
      <c r="AW32" s="111">
        <f>AV32/AT32%</f>
        <v>103.19429166666667</v>
      </c>
      <c r="AX32" s="82">
        <v>6140</v>
      </c>
      <c r="AY32" s="82">
        <v>382.87</v>
      </c>
      <c r="AZ32" s="82">
        <v>4054.94</v>
      </c>
      <c r="BA32" s="111">
        <f>AZ32/AX32%</f>
        <v>66.041368078175893</v>
      </c>
      <c r="BB32" s="82">
        <v>9150</v>
      </c>
      <c r="BC32" s="82">
        <v>616.59199999999998</v>
      </c>
      <c r="BD32" s="82">
        <v>3944.1370000000002</v>
      </c>
      <c r="BE32" s="111">
        <f t="shared" si="6"/>
        <v>43.105322404371584</v>
      </c>
    </row>
    <row r="33" spans="1:57" s="108" customFormat="1" hidden="1" x14ac:dyDescent="0.25">
      <c r="A33" s="184" t="s">
        <v>112</v>
      </c>
      <c r="B33" s="83"/>
      <c r="C33" s="83"/>
      <c r="D33" s="83"/>
      <c r="E33" s="97"/>
      <c r="F33" s="83">
        <f t="shared" si="1"/>
        <v>0</v>
      </c>
      <c r="G33" s="83">
        <f t="shared" si="2"/>
        <v>-850.42499999999995</v>
      </c>
      <c r="H33" s="83">
        <f t="shared" si="3"/>
        <v>-7916.6760000000004</v>
      </c>
      <c r="I33" s="111"/>
      <c r="J33" s="83">
        <f>+N33+R33+V33+Z33+AD33+AH33+AL33+AP33+AT33+AX33+BB33</f>
        <v>0</v>
      </c>
      <c r="K33" s="83">
        <f>+O33+S33+W33+AA33+AE33+AI33+AM33+AQ33+AU33+AY33+BC33</f>
        <v>850.42499999999995</v>
      </c>
      <c r="L33" s="83">
        <f>+P33+T33+X33+AB33+AF33+AJ33+AN33+AR33+AV33+AZ33+BD33</f>
        <v>7916.6760000000004</v>
      </c>
      <c r="M33" s="97"/>
      <c r="N33" s="83"/>
      <c r="O33" s="83">
        <v>18.806999999999999</v>
      </c>
      <c r="P33" s="83">
        <v>960.86400000000003</v>
      </c>
      <c r="Q33" s="111"/>
      <c r="R33" s="83"/>
      <c r="S33" s="83">
        <v>256.63200000000001</v>
      </c>
      <c r="T33" s="83">
        <v>2234.5140000000001</v>
      </c>
      <c r="U33" s="111"/>
      <c r="V33" s="83"/>
      <c r="W33" s="83">
        <v>155.64099999999999</v>
      </c>
      <c r="X33" s="83">
        <v>827.4</v>
      </c>
      <c r="Y33" s="111"/>
      <c r="Z33" s="83"/>
      <c r="AA33" s="83">
        <v>50.539000000000001</v>
      </c>
      <c r="AB33" s="83">
        <v>1247.7819999999999</v>
      </c>
      <c r="AC33" s="111"/>
      <c r="AD33" s="83"/>
      <c r="AE33" s="83">
        <v>151.202</v>
      </c>
      <c r="AF33" s="83">
        <v>584.09100000000001</v>
      </c>
      <c r="AG33" s="111"/>
      <c r="AH33" s="83"/>
      <c r="AI33" s="83">
        <v>0</v>
      </c>
      <c r="AJ33" s="83">
        <v>395.87</v>
      </c>
      <c r="AK33" s="111"/>
      <c r="AL33" s="83"/>
      <c r="AM33" s="83">
        <v>42.530999999999999</v>
      </c>
      <c r="AN33" s="83">
        <v>111.084</v>
      </c>
      <c r="AO33" s="111"/>
      <c r="AP33" s="83"/>
      <c r="AQ33" s="83">
        <v>149.46899999999999</v>
      </c>
      <c r="AR33" s="83">
        <v>938.25900000000001</v>
      </c>
      <c r="AS33" s="111"/>
      <c r="AT33" s="83"/>
      <c r="AU33" s="83">
        <v>7.02</v>
      </c>
      <c r="AV33" s="83">
        <v>227.39400000000001</v>
      </c>
      <c r="AW33" s="111"/>
      <c r="AX33" s="83"/>
      <c r="AY33" s="83">
        <v>9.5470000000000006</v>
      </c>
      <c r="AZ33" s="83">
        <v>207.17400000000001</v>
      </c>
      <c r="BA33" s="111"/>
      <c r="BB33" s="83"/>
      <c r="BC33" s="83">
        <v>9.0370000000000008</v>
      </c>
      <c r="BD33" s="83">
        <v>182.244</v>
      </c>
      <c r="BE33" s="111"/>
    </row>
    <row r="34" spans="1:57" s="183" customFormat="1" x14ac:dyDescent="0.25">
      <c r="A34" s="110" t="s">
        <v>73</v>
      </c>
      <c r="B34" s="82">
        <v>35000</v>
      </c>
      <c r="C34" s="82">
        <v>34.476999999999997</v>
      </c>
      <c r="D34" s="82">
        <v>97472.34</v>
      </c>
      <c r="E34" s="95">
        <f t="shared" si="0"/>
        <v>278.49239999999998</v>
      </c>
      <c r="F34" s="82">
        <f t="shared" si="1"/>
        <v>35000</v>
      </c>
      <c r="G34" s="82">
        <f t="shared" si="2"/>
        <v>34.476999999999997</v>
      </c>
      <c r="H34" s="82">
        <f t="shared" si="3"/>
        <v>97472.34</v>
      </c>
      <c r="I34" s="185"/>
      <c r="J34" s="82">
        <f>+N34+R34+V34+Z34+AD34+AH34+AL34+AP34+AT34+AX34+BB34</f>
        <v>0</v>
      </c>
      <c r="K34" s="82">
        <f>+O34+S34+W34+AA34+AE34+AI34+AM34+AQ34+AU34+AY34+BC34</f>
        <v>0</v>
      </c>
      <c r="L34" s="82">
        <f>+P34+T34+X34+AB34+AF34+AJ34+AN34+AR34+AV34+AZ34+BD34</f>
        <v>0</v>
      </c>
      <c r="M34" s="95"/>
      <c r="N34" s="82"/>
      <c r="O34" s="82"/>
      <c r="P34" s="82"/>
      <c r="Q34" s="185"/>
      <c r="R34" s="82"/>
      <c r="S34" s="82"/>
      <c r="T34" s="82"/>
      <c r="U34" s="185"/>
      <c r="V34" s="82"/>
      <c r="W34" s="82"/>
      <c r="X34" s="82"/>
      <c r="Y34" s="185"/>
      <c r="Z34" s="82"/>
      <c r="AA34" s="82"/>
      <c r="AB34" s="82"/>
      <c r="AC34" s="185"/>
      <c r="AD34" s="82"/>
      <c r="AE34" s="82"/>
      <c r="AF34" s="82"/>
      <c r="AG34" s="185"/>
      <c r="AH34" s="82"/>
      <c r="AI34" s="82"/>
      <c r="AJ34" s="82"/>
      <c r="AK34" s="185"/>
      <c r="AL34" s="82"/>
      <c r="AM34" s="82"/>
      <c r="AN34" s="82"/>
      <c r="AO34" s="185"/>
      <c r="AP34" s="82"/>
      <c r="AQ34" s="82"/>
      <c r="AR34" s="82"/>
      <c r="AS34" s="185"/>
      <c r="AT34" s="82"/>
      <c r="AU34" s="82"/>
      <c r="AV34" s="82"/>
      <c r="AW34" s="185"/>
      <c r="AX34" s="82"/>
      <c r="AY34" s="82"/>
      <c r="AZ34" s="82"/>
      <c r="BA34" s="185"/>
      <c r="BB34" s="82"/>
      <c r="BC34" s="82"/>
      <c r="BD34" s="82"/>
      <c r="BE34" s="185"/>
    </row>
    <row r="35" spans="1:57" s="108" customFormat="1" x14ac:dyDescent="0.25">
      <c r="A35" s="110" t="s">
        <v>74</v>
      </c>
      <c r="B35" s="82">
        <v>140000</v>
      </c>
      <c r="C35" s="82">
        <v>0</v>
      </c>
      <c r="D35" s="82">
        <v>123619.25900000001</v>
      </c>
      <c r="E35" s="95">
        <f t="shared" si="0"/>
        <v>88.299470714285718</v>
      </c>
      <c r="F35" s="82">
        <f t="shared" si="1"/>
        <v>140000</v>
      </c>
      <c r="G35" s="82">
        <f t="shared" si="2"/>
        <v>0</v>
      </c>
      <c r="H35" s="82">
        <f t="shared" si="3"/>
        <v>123619.25900000001</v>
      </c>
      <c r="I35" s="111">
        <f t="shared" si="4"/>
        <v>88.299470714285718</v>
      </c>
      <c r="J35" s="82">
        <f>+N35+R35+V35+Z35+AD35+AH35+AL35+AP35+AT35+AX35+BB35</f>
        <v>0</v>
      </c>
      <c r="K35" s="82">
        <f>+O35+S35+W35+AA35+AE35+AI35+AM35+AQ35+AU35+AY35+BC35</f>
        <v>0</v>
      </c>
      <c r="L35" s="82">
        <f>+P35+T35+X35+AB35+AF35+AJ35+AN35+AR35+AV35+AZ35+BD35</f>
        <v>0</v>
      </c>
      <c r="M35" s="95"/>
      <c r="N35" s="82"/>
      <c r="O35" s="82"/>
      <c r="P35" s="82"/>
      <c r="Q35" s="111"/>
      <c r="R35" s="82"/>
      <c r="S35" s="82"/>
      <c r="T35" s="82"/>
      <c r="U35" s="111"/>
      <c r="V35" s="82"/>
      <c r="W35" s="82"/>
      <c r="X35" s="82"/>
      <c r="Y35" s="111"/>
      <c r="Z35" s="82"/>
      <c r="AA35" s="82"/>
      <c r="AB35" s="82"/>
      <c r="AC35" s="111"/>
      <c r="AD35" s="82"/>
      <c r="AE35" s="82"/>
      <c r="AF35" s="82"/>
      <c r="AG35" s="111"/>
      <c r="AH35" s="82"/>
      <c r="AI35" s="82"/>
      <c r="AJ35" s="82"/>
      <c r="AK35" s="111"/>
      <c r="AL35" s="82"/>
      <c r="AM35" s="82"/>
      <c r="AN35" s="82"/>
      <c r="AO35" s="111"/>
      <c r="AP35" s="82"/>
      <c r="AQ35" s="82"/>
      <c r="AR35" s="82"/>
      <c r="AS35" s="111"/>
      <c r="AT35" s="82"/>
      <c r="AU35" s="82"/>
      <c r="AV35" s="82"/>
      <c r="AW35" s="111"/>
      <c r="AX35" s="82"/>
      <c r="AY35" s="82"/>
      <c r="AZ35" s="82"/>
      <c r="BA35" s="111"/>
      <c r="BB35" s="82"/>
      <c r="BC35" s="82"/>
      <c r="BD35" s="82"/>
      <c r="BE35" s="111"/>
    </row>
    <row r="36" spans="1:57" s="108" customFormat="1" x14ac:dyDescent="0.25">
      <c r="A36" s="110" t="s">
        <v>75</v>
      </c>
      <c r="B36" s="82">
        <v>1890000</v>
      </c>
      <c r="C36" s="82">
        <v>104179.901</v>
      </c>
      <c r="D36" s="82">
        <v>1518532.2590000001</v>
      </c>
      <c r="E36" s="95">
        <f t="shared" si="0"/>
        <v>80.345622169312179</v>
      </c>
      <c r="F36" s="82">
        <f t="shared" si="1"/>
        <v>1890000</v>
      </c>
      <c r="G36" s="82">
        <f t="shared" si="2"/>
        <v>104179.901</v>
      </c>
      <c r="H36" s="82">
        <f t="shared" si="3"/>
        <v>1518532.2590000001</v>
      </c>
      <c r="I36" s="111">
        <f t="shared" si="4"/>
        <v>80.345622169312179</v>
      </c>
      <c r="J36" s="82">
        <f>+N36+R36+V36+Z36+AD36+AH36+AL36+AP36+AT36+AX36+BB36</f>
        <v>0</v>
      </c>
      <c r="K36" s="82">
        <f>+O36+S36+W36+AA36+AE36+AI36+AM36+AQ36+AU36+AY36+BC36</f>
        <v>0</v>
      </c>
      <c r="L36" s="82">
        <f>+P36+T36+X36+AB36+AF36+AJ36+AN36+AR36+AV36+AZ36+BD36</f>
        <v>0</v>
      </c>
      <c r="M36" s="95"/>
      <c r="N36" s="82"/>
      <c r="O36" s="82"/>
      <c r="P36" s="82"/>
      <c r="Q36" s="111"/>
      <c r="R36" s="82"/>
      <c r="S36" s="82"/>
      <c r="T36" s="82"/>
      <c r="U36" s="111"/>
      <c r="V36" s="82"/>
      <c r="W36" s="82"/>
      <c r="X36" s="82"/>
      <c r="Y36" s="111"/>
      <c r="Z36" s="82"/>
      <c r="AA36" s="82"/>
      <c r="AB36" s="82"/>
      <c r="AC36" s="111"/>
      <c r="AD36" s="82"/>
      <c r="AE36" s="82"/>
      <c r="AF36" s="82"/>
      <c r="AG36" s="111"/>
      <c r="AH36" s="82"/>
      <c r="AI36" s="82"/>
      <c r="AJ36" s="82"/>
      <c r="AK36" s="111"/>
      <c r="AL36" s="82"/>
      <c r="AM36" s="82"/>
      <c r="AN36" s="82"/>
      <c r="AO36" s="111"/>
      <c r="AP36" s="82"/>
      <c r="AQ36" s="82"/>
      <c r="AR36" s="82"/>
      <c r="AS36" s="111"/>
      <c r="AT36" s="82"/>
      <c r="AU36" s="82"/>
      <c r="AV36" s="82"/>
      <c r="AW36" s="111"/>
      <c r="AX36" s="82"/>
      <c r="AY36" s="82"/>
      <c r="AZ36" s="82"/>
      <c r="BA36" s="111"/>
      <c r="BB36" s="82"/>
      <c r="BC36" s="82"/>
      <c r="BD36" s="82"/>
      <c r="BE36" s="111"/>
    </row>
    <row r="37" spans="1:57" s="186" customFormat="1" x14ac:dyDescent="0.25">
      <c r="A37" s="98" t="s">
        <v>37</v>
      </c>
      <c r="B37" s="84">
        <f>+B38+B47</f>
        <v>20667713</v>
      </c>
      <c r="C37" s="84">
        <f t="shared" ref="C37:D37" si="7">+C38+C47</f>
        <v>4903516.146333334</v>
      </c>
      <c r="D37" s="84">
        <f t="shared" si="7"/>
        <v>13177522.205999997</v>
      </c>
      <c r="E37" s="99">
        <f t="shared" si="0"/>
        <v>63.75897616731951</v>
      </c>
      <c r="F37" s="84">
        <f t="shared" si="1"/>
        <v>11595894</v>
      </c>
      <c r="G37" s="84">
        <f t="shared" si="2"/>
        <v>4295940.1120000007</v>
      </c>
      <c r="H37" s="84">
        <f t="shared" si="3"/>
        <v>6928476.1429999955</v>
      </c>
      <c r="I37" s="177">
        <f t="shared" si="4"/>
        <v>59.749391836455175</v>
      </c>
      <c r="J37" s="84">
        <f>+N37+R37+V37+Z37+AD37+AH37+AL37+AP37+AT37+AX37+BB37</f>
        <v>9071819</v>
      </c>
      <c r="K37" s="84">
        <f>+O37+S37+W37+AA37+AE37+AI37+AM37+AQ37+AU37+AY37+BC37</f>
        <v>607576.03433333337</v>
      </c>
      <c r="L37" s="84">
        <f>+P37+T37+X37+AB37+AF37+AJ37+AN37+AR37+AV37+AZ37+BD37</f>
        <v>6249046.063000001</v>
      </c>
      <c r="M37" s="99">
        <f t="shared" si="5"/>
        <v>68.884157223595409</v>
      </c>
      <c r="N37" s="84">
        <f>+N38+N47</f>
        <v>1139921</v>
      </c>
      <c r="O37" s="84">
        <f>+O38+O47</f>
        <v>56774.696000000011</v>
      </c>
      <c r="P37" s="84">
        <f>+P38+P47</f>
        <v>664744.598</v>
      </c>
      <c r="Q37" s="177">
        <f>P37/N37%</f>
        <v>58.314970774290501</v>
      </c>
      <c r="R37" s="84">
        <f>+R38+R47</f>
        <v>585387</v>
      </c>
      <c r="S37" s="84">
        <f>+S38+S47</f>
        <v>35545.893000000004</v>
      </c>
      <c r="T37" s="84">
        <f>+T38+T47</f>
        <v>330978.20700000005</v>
      </c>
      <c r="U37" s="177">
        <f>T37/R37%</f>
        <v>56.540067852548837</v>
      </c>
      <c r="V37" s="84">
        <f>+V38+V47</f>
        <v>726614</v>
      </c>
      <c r="W37" s="84">
        <f>+W38+W47</f>
        <v>46118.644333333337</v>
      </c>
      <c r="X37" s="84">
        <f>+X38+X47</f>
        <v>530810.51333333331</v>
      </c>
      <c r="Y37" s="177">
        <f>X37/V37%</f>
        <v>73.052612987546794</v>
      </c>
      <c r="Z37" s="84">
        <f>+Z38+Z47</f>
        <v>1123841</v>
      </c>
      <c r="AA37" s="84">
        <f>+AA38+AA47</f>
        <v>85994.868666666662</v>
      </c>
      <c r="AB37" s="84">
        <f>+AB38+AB47</f>
        <v>812442.50633333332</v>
      </c>
      <c r="AC37" s="177">
        <f>AB37/Z37%</f>
        <v>72.291588074588248</v>
      </c>
      <c r="AD37" s="84">
        <f>+AD38+AD47</f>
        <v>857187</v>
      </c>
      <c r="AE37" s="84">
        <f>+AE38+AE47</f>
        <v>71039.255999999994</v>
      </c>
      <c r="AF37" s="84">
        <f>+AF38+AF47</f>
        <v>649848.20600000001</v>
      </c>
      <c r="AG37" s="177">
        <f>AF37/AD37%</f>
        <v>75.811719729767248</v>
      </c>
      <c r="AH37" s="84">
        <f>+AH38+AH47</f>
        <v>816872</v>
      </c>
      <c r="AI37" s="84">
        <f>+AI38+AI47</f>
        <v>66430.102666666673</v>
      </c>
      <c r="AJ37" s="84">
        <f>+AJ38+AJ47</f>
        <v>590734.61733333324</v>
      </c>
      <c r="AK37" s="177">
        <f>AJ37/AH37%</f>
        <v>72.316668625357849</v>
      </c>
      <c r="AL37" s="84">
        <f>+AL38+AL47</f>
        <v>747969</v>
      </c>
      <c r="AM37" s="84">
        <f>+AM38+AM47</f>
        <v>52922.607666666663</v>
      </c>
      <c r="AN37" s="84">
        <f>+AN38+AN47</f>
        <v>544941.55933333328</v>
      </c>
      <c r="AO37" s="177">
        <f>AN37/AL37%</f>
        <v>72.856169083656312</v>
      </c>
      <c r="AP37" s="84">
        <f>+AP38+AP47</f>
        <v>824604</v>
      </c>
      <c r="AQ37" s="84">
        <f>+AQ38+AQ47</f>
        <v>24689.58</v>
      </c>
      <c r="AR37" s="84">
        <f>+AR38+AR47</f>
        <v>360247.11333333334</v>
      </c>
      <c r="AS37" s="177">
        <f>AR37/AP37%</f>
        <v>43.687286665276098</v>
      </c>
      <c r="AT37" s="84">
        <f>+AT38+AT47</f>
        <v>779542</v>
      </c>
      <c r="AU37" s="84">
        <f>+AU38+AU47</f>
        <v>54127.407999999996</v>
      </c>
      <c r="AV37" s="84">
        <f>+AV38+AV47</f>
        <v>699084.946</v>
      </c>
      <c r="AW37" s="177">
        <f>AV37/AT37%</f>
        <v>89.678932757952751</v>
      </c>
      <c r="AX37" s="84">
        <f>+AX38+AX47</f>
        <v>719252</v>
      </c>
      <c r="AY37" s="84">
        <f>+AY38+AY47</f>
        <v>50868.500333333337</v>
      </c>
      <c r="AZ37" s="84">
        <f>+AZ38+AZ47</f>
        <v>531812.88766666665</v>
      </c>
      <c r="BA37" s="177">
        <f>AZ37/AX37%</f>
        <v>73.939716214437581</v>
      </c>
      <c r="BB37" s="84">
        <f>+BB38+BB47</f>
        <v>750630</v>
      </c>
      <c r="BC37" s="84">
        <f>+BC38+BC47</f>
        <v>63064.477666666666</v>
      </c>
      <c r="BD37" s="84">
        <f>+BD38+BD47</f>
        <v>533400.90866666671</v>
      </c>
      <c r="BE37" s="177">
        <f t="shared" si="6"/>
        <v>71.060430394024579</v>
      </c>
    </row>
    <row r="38" spans="1:57" s="186" customFormat="1" x14ac:dyDescent="0.25">
      <c r="A38" s="100" t="s">
        <v>59</v>
      </c>
      <c r="B38" s="84">
        <f>+B41+B44+B45+B46</f>
        <v>16658719</v>
      </c>
      <c r="C38" s="84">
        <f t="shared" ref="C38:D38" si="8">+C41+C44+C45+C46</f>
        <v>4586167.9373333342</v>
      </c>
      <c r="D38" s="84">
        <f t="shared" si="8"/>
        <v>10236956.121999998</v>
      </c>
      <c r="E38" s="99">
        <f t="shared" si="0"/>
        <v>61.451040275065552</v>
      </c>
      <c r="F38" s="84">
        <f t="shared" si="1"/>
        <v>7588004</v>
      </c>
      <c r="G38" s="84">
        <f t="shared" si="2"/>
        <v>4018321.8060000008</v>
      </c>
      <c r="H38" s="84">
        <f t="shared" si="3"/>
        <v>4616367.9619999984</v>
      </c>
      <c r="I38" s="177">
        <f t="shared" si="4"/>
        <v>60.837711234733121</v>
      </c>
      <c r="J38" s="84">
        <f>+N38+R38+V38+Z38+AD38+AH38+AL38+AP38+AT38+AX38+BB38</f>
        <v>9070715</v>
      </c>
      <c r="K38" s="84">
        <f>+O38+S38+W38+AA38+AE38+AI38+AM38+AQ38+AU38+AY38+BC38</f>
        <v>567846.13133333332</v>
      </c>
      <c r="L38" s="84">
        <f>+P38+T38+X38+AB38+AF38+AJ38+AN38+AR38+AV38+AZ38+BD38</f>
        <v>5620588.1599999992</v>
      </c>
      <c r="M38" s="99">
        <f t="shared" si="5"/>
        <v>61.964113744065372</v>
      </c>
      <c r="N38" s="84">
        <f>+N41+N44+N45+N46</f>
        <v>1139801</v>
      </c>
      <c r="O38" s="84">
        <f>+O41+O44+O46</f>
        <v>47774.696000000011</v>
      </c>
      <c r="P38" s="84">
        <f>+P41+P44+P46</f>
        <v>644508.598</v>
      </c>
      <c r="Q38" s="177">
        <f>P38/N38%</f>
        <v>56.545712628783441</v>
      </c>
      <c r="R38" s="84">
        <f>+R41+R44+R45+R46</f>
        <v>585267</v>
      </c>
      <c r="S38" s="84">
        <f>+S41+S44+S46</f>
        <v>32391.992000000002</v>
      </c>
      <c r="T38" s="84">
        <f>+T41+T44+T46</f>
        <v>320990.30600000004</v>
      </c>
      <c r="U38" s="177">
        <f>T38/R38%</f>
        <v>54.845105908927046</v>
      </c>
      <c r="V38" s="84">
        <f>+V41+V44+V45+V46</f>
        <v>726509</v>
      </c>
      <c r="W38" s="84">
        <f>+W41+W44+W46</f>
        <v>46064.644333333337</v>
      </c>
      <c r="X38" s="84">
        <f>+X41+X44+X46</f>
        <v>483972.51333333331</v>
      </c>
      <c r="Y38" s="177">
        <f>X38/V38%</f>
        <v>66.616175895045117</v>
      </c>
      <c r="Z38" s="84">
        <f>+Z41+Z44+Z45+Z46</f>
        <v>1123721</v>
      </c>
      <c r="AA38" s="84">
        <f>+AA41+AA44+AA46</f>
        <v>85984.868666666662</v>
      </c>
      <c r="AB38" s="84">
        <f>+AB41+AB44+AB46</f>
        <v>756008.50633333332</v>
      </c>
      <c r="AC38" s="177">
        <f>AB38/Z38%</f>
        <v>67.277242868410696</v>
      </c>
      <c r="AD38" s="84">
        <f>+AD41+AD44+AD45+AD46</f>
        <v>857105</v>
      </c>
      <c r="AE38" s="84">
        <f>+AE41+AE44+AE46</f>
        <v>71039.255999999994</v>
      </c>
      <c r="AF38" s="84">
        <f>+AF41+AF44+AF46</f>
        <v>587566.20600000001</v>
      </c>
      <c r="AG38" s="177">
        <f>AF38/AD38%</f>
        <v>68.552418431814075</v>
      </c>
      <c r="AH38" s="84">
        <f>+AH41+AH44+AH45+AH46</f>
        <v>816752</v>
      </c>
      <c r="AI38" s="84">
        <f>+AI41+AI44+AI46</f>
        <v>62098.102666666666</v>
      </c>
      <c r="AJ38" s="84">
        <f>+AJ41+AJ44+AJ46</f>
        <v>539619.61733333324</v>
      </c>
      <c r="AK38" s="177">
        <f>AJ38/AH38%</f>
        <v>66.068967977223593</v>
      </c>
      <c r="AL38" s="84">
        <f>+AL41+AL44+AL45+AL46</f>
        <v>747849</v>
      </c>
      <c r="AM38" s="84">
        <f>+AM41+AM44+AM46</f>
        <v>52922.607666666663</v>
      </c>
      <c r="AN38" s="84">
        <f>+AN41+AN44+AN46</f>
        <v>489637.55933333328</v>
      </c>
      <c r="AO38" s="177">
        <f>AN38/AL38%</f>
        <v>65.472783855207837</v>
      </c>
      <c r="AP38" s="84">
        <f>+AP41+AP44+AP45+AP46</f>
        <v>824522</v>
      </c>
      <c r="AQ38" s="84">
        <f>+AQ41+AQ44+AQ46</f>
        <v>12377.580000000002</v>
      </c>
      <c r="AR38" s="84">
        <f>+AR41+AR44+AR46</f>
        <v>337289.11333333334</v>
      </c>
      <c r="AS38" s="177">
        <f>AR38/AP38%</f>
        <v>40.907230290196424</v>
      </c>
      <c r="AT38" s="84">
        <f>+AT41+AT44+AT45+AT46</f>
        <v>779472</v>
      </c>
      <c r="AU38" s="84">
        <f>+AU41+AU44+AU46</f>
        <v>54127.407999999996</v>
      </c>
      <c r="AV38" s="84">
        <f>+AV41+AV44+AV46</f>
        <v>533088.946</v>
      </c>
      <c r="AW38" s="177">
        <f>AV38/AT38%</f>
        <v>68.391032134573138</v>
      </c>
      <c r="AX38" s="84">
        <f>+AX41+AX44+AX45+AX46</f>
        <v>719192</v>
      </c>
      <c r="AY38" s="84">
        <f>+AY41+AY44+AY46</f>
        <v>50868.500333333337</v>
      </c>
      <c r="AZ38" s="84">
        <f>+AZ41+AZ44+AZ46</f>
        <v>461327.88766666665</v>
      </c>
      <c r="BA38" s="177">
        <f>AZ38/AX38%</f>
        <v>64.145303015977191</v>
      </c>
      <c r="BB38" s="84">
        <f>+BB41+BB44+BB45+BB46</f>
        <v>750525</v>
      </c>
      <c r="BC38" s="84">
        <f>+BC41+BC44+BC46</f>
        <v>52196.475666666665</v>
      </c>
      <c r="BD38" s="84">
        <f>+BD41+BD44+BD46</f>
        <v>466578.90666666668</v>
      </c>
      <c r="BE38" s="177">
        <f t="shared" si="6"/>
        <v>62.167003986098621</v>
      </c>
    </row>
    <row r="39" spans="1:57" s="186" customFormat="1" hidden="1" x14ac:dyDescent="0.25">
      <c r="A39" s="100" t="s">
        <v>113</v>
      </c>
      <c r="B39" s="84">
        <f>+B41+B44</f>
        <v>15339122</v>
      </c>
      <c r="C39" s="84">
        <f>+C41+C44</f>
        <v>4076218.7706666673</v>
      </c>
      <c r="D39" s="84">
        <f>+D41+D44</f>
        <v>9616464.1219999976</v>
      </c>
      <c r="E39" s="99">
        <f t="shared" si="0"/>
        <v>62.69240261600369</v>
      </c>
      <c r="F39" s="84">
        <f t="shared" si="1"/>
        <v>7052816</v>
      </c>
      <c r="G39" s="84">
        <f t="shared" si="2"/>
        <v>3508372.6393333338</v>
      </c>
      <c r="H39" s="84">
        <f t="shared" si="3"/>
        <v>3995875.9619999984</v>
      </c>
      <c r="I39" s="177">
        <f t="shared" si="4"/>
        <v>56.656461220596114</v>
      </c>
      <c r="J39" s="84">
        <f>+N39+R39+V39+Z39+AD39+AH39+AL39+AP39+AT39+AX39+BB39</f>
        <v>8286306</v>
      </c>
      <c r="K39" s="84">
        <f>+O39+S39+W39+AA39+AE39+AI39+AM39+AQ39+AU39+AY39+BC39</f>
        <v>567846.13133333332</v>
      </c>
      <c r="L39" s="84">
        <f>+P39+T39+X39+AB39+AF39+AJ39+AN39+AR39+AV39+AZ39+BD39</f>
        <v>5620588.1599999992</v>
      </c>
      <c r="M39" s="99">
        <f t="shared" si="5"/>
        <v>67.82984070344493</v>
      </c>
      <c r="N39" s="84">
        <f>+N41+N44</f>
        <v>980944</v>
      </c>
      <c r="O39" s="84">
        <f>+O41+O44</f>
        <v>47774.696000000011</v>
      </c>
      <c r="P39" s="84">
        <f>+P41+P44</f>
        <v>644508.598</v>
      </c>
      <c r="Q39" s="177">
        <f>P39/N39%</f>
        <v>65.70289415094031</v>
      </c>
      <c r="R39" s="84">
        <f>+R41+R44</f>
        <v>503424</v>
      </c>
      <c r="S39" s="84">
        <f>+S41+S44</f>
        <v>32391.992000000002</v>
      </c>
      <c r="T39" s="84">
        <f>+T41+T44</f>
        <v>320990.30600000004</v>
      </c>
      <c r="U39" s="177">
        <f>T39/R39%</f>
        <v>63.761422975464036</v>
      </c>
      <c r="V39" s="84">
        <f>+V41+V44</f>
        <v>678573</v>
      </c>
      <c r="W39" s="84">
        <f>+W41+W44</f>
        <v>46064.644333333337</v>
      </c>
      <c r="X39" s="84">
        <f>+X41+X44</f>
        <v>483972.51333333331</v>
      </c>
      <c r="Y39" s="177">
        <f>X39/V39%</f>
        <v>71.322099955838695</v>
      </c>
      <c r="Z39" s="84">
        <f>+Z41+Z44</f>
        <v>1033855</v>
      </c>
      <c r="AA39" s="84">
        <f>+AA41+AA44</f>
        <v>85984.868666666662</v>
      </c>
      <c r="AB39" s="84">
        <f>+AB41+AB44</f>
        <v>756008.50633333332</v>
      </c>
      <c r="AC39" s="177">
        <f>AB39/Z39%</f>
        <v>73.125197085987239</v>
      </c>
      <c r="AD39" s="84">
        <f>+AD41+AD44</f>
        <v>796382</v>
      </c>
      <c r="AE39" s="84">
        <f>+AE41+AE44</f>
        <v>71039.255999999994</v>
      </c>
      <c r="AF39" s="84">
        <f>+AF41+AF44</f>
        <v>587566.20600000001</v>
      </c>
      <c r="AG39" s="177">
        <f>AF39/AD39%</f>
        <v>73.779443282243946</v>
      </c>
      <c r="AH39" s="84">
        <f>+AH41+AH44</f>
        <v>758527</v>
      </c>
      <c r="AI39" s="84">
        <f>+AI41+AI44</f>
        <v>62098.102666666666</v>
      </c>
      <c r="AJ39" s="84">
        <f>+AJ41+AJ44</f>
        <v>539619.61733333324</v>
      </c>
      <c r="AK39" s="177">
        <f>AJ39/AH39%</f>
        <v>71.140462677443679</v>
      </c>
      <c r="AL39" s="84">
        <f>+AL41+AL44</f>
        <v>698891</v>
      </c>
      <c r="AM39" s="84">
        <f>+AM41+AM44</f>
        <v>52922.607666666663</v>
      </c>
      <c r="AN39" s="84">
        <f>+AN41+AN44</f>
        <v>489637.55933333328</v>
      </c>
      <c r="AO39" s="177">
        <f>AN39/AL39%</f>
        <v>70.059216577883149</v>
      </c>
      <c r="AP39" s="84">
        <f>+AP41+AP44</f>
        <v>761733</v>
      </c>
      <c r="AQ39" s="84">
        <f>+AQ41+AQ44</f>
        <v>12377.580000000002</v>
      </c>
      <c r="AR39" s="84">
        <f>+AR41+AR44</f>
        <v>337289.11333333334</v>
      </c>
      <c r="AS39" s="177">
        <f>AR39/AP39%</f>
        <v>44.279178312260768</v>
      </c>
      <c r="AT39" s="84">
        <f>+AT41+AT44</f>
        <v>721296</v>
      </c>
      <c r="AU39" s="84">
        <f>+AU41+AU44</f>
        <v>54127.407999999996</v>
      </c>
      <c r="AV39" s="84">
        <f>+AV41+AV44</f>
        <v>533088.946</v>
      </c>
      <c r="AW39" s="177">
        <f>AV39/AT39%</f>
        <v>73.907098611388392</v>
      </c>
      <c r="AX39" s="84">
        <f>+AX41+AX44</f>
        <v>664362</v>
      </c>
      <c r="AY39" s="84">
        <f>+AY41+AY44</f>
        <v>50868.500333333337</v>
      </c>
      <c r="AZ39" s="84">
        <f>+AZ41+AZ44</f>
        <v>461327.88766666665</v>
      </c>
      <c r="BA39" s="177">
        <f>AZ39/AX39%</f>
        <v>69.439234583956733</v>
      </c>
      <c r="BB39" s="84">
        <f>+BB41+BB44</f>
        <v>688319</v>
      </c>
      <c r="BC39" s="84">
        <f>+BC41+BC44</f>
        <v>52196.475666666665</v>
      </c>
      <c r="BD39" s="84">
        <f>+BD41+BD44</f>
        <v>466578.90666666668</v>
      </c>
      <c r="BE39" s="177">
        <f t="shared" si="6"/>
        <v>67.785272041984413</v>
      </c>
    </row>
    <row r="40" spans="1:57" s="187" customFormat="1" hidden="1" x14ac:dyDescent="0.25">
      <c r="A40" s="101" t="s">
        <v>114</v>
      </c>
      <c r="B40" s="102">
        <f>+B39-B26-B36</f>
        <v>12829122</v>
      </c>
      <c r="C40" s="102">
        <f>+C39-C26-C36</f>
        <v>3952552.9206666672</v>
      </c>
      <c r="D40" s="102">
        <f>+D39-D26-D36</f>
        <v>7705622.1099999975</v>
      </c>
      <c r="E40" s="103">
        <f t="shared" si="0"/>
        <v>60.06351884407988</v>
      </c>
      <c r="F40" s="102">
        <f t="shared" si="1"/>
        <v>4902816</v>
      </c>
      <c r="G40" s="102">
        <f t="shared" si="2"/>
        <v>3400388.3123333338</v>
      </c>
      <c r="H40" s="102">
        <f t="shared" si="3"/>
        <v>2284328.4739999976</v>
      </c>
      <c r="I40" s="182">
        <f t="shared" si="4"/>
        <v>46.592172212867005</v>
      </c>
      <c r="J40" s="102">
        <f>+N40+R40+V40+Z40+AD40+AH40+AL40+AP40+AT40+AX40+BB40</f>
        <v>7926306</v>
      </c>
      <c r="K40" s="102">
        <f>+O40+S40+W40+AA40+AE40+AI40+AM40+AQ40+AU40+AY40+BC40</f>
        <v>552164.6083333334</v>
      </c>
      <c r="L40" s="102">
        <f>+P40+T40+X40+AB40+AF40+AJ40+AN40+AR40+AV40+AZ40+BD40</f>
        <v>5421293.6359999999</v>
      </c>
      <c r="M40" s="103">
        <f t="shared" si="5"/>
        <v>68.396219323351886</v>
      </c>
      <c r="N40" s="102">
        <f>+N39-N26-N36</f>
        <v>830944</v>
      </c>
      <c r="O40" s="102">
        <f>+O39-O26-O36</f>
        <v>44798.965000000011</v>
      </c>
      <c r="P40" s="102">
        <f>+P39-P26-P36</f>
        <v>599840.39199999999</v>
      </c>
      <c r="Q40" s="182">
        <f>P40/N40%</f>
        <v>72.187823968883578</v>
      </c>
      <c r="R40" s="102">
        <f>+R39-R26-R36</f>
        <v>473424</v>
      </c>
      <c r="S40" s="102">
        <f>+S39-S26-S36</f>
        <v>31813.372000000003</v>
      </c>
      <c r="T40" s="102">
        <f>+T39-T26-T36</f>
        <v>297290.75000000006</v>
      </c>
      <c r="U40" s="182">
        <f>T40/R40%</f>
        <v>62.795876423670975</v>
      </c>
      <c r="V40" s="102">
        <f>+V39-V26-V36</f>
        <v>643573</v>
      </c>
      <c r="W40" s="102">
        <f>+W39-W26-W36</f>
        <v>42754.04833333334</v>
      </c>
      <c r="X40" s="102">
        <f>+X39-X26-X36</f>
        <v>460979.1173333333</v>
      </c>
      <c r="Y40" s="182">
        <f>X40/V40%</f>
        <v>71.628100826686847</v>
      </c>
      <c r="Z40" s="102">
        <f>+Z39-Z26-Z36</f>
        <v>1003855</v>
      </c>
      <c r="AA40" s="102">
        <f>+AA39-AA26-AA36</f>
        <v>84676.833666666658</v>
      </c>
      <c r="AB40" s="102">
        <f>+AB39-AB26-AB36</f>
        <v>729722.58333333337</v>
      </c>
      <c r="AC40" s="182">
        <f>AB40/Z40%</f>
        <v>72.692030555541734</v>
      </c>
      <c r="AD40" s="102">
        <f>+AD39-AD26-AD36</f>
        <v>766382</v>
      </c>
      <c r="AE40" s="102">
        <f>+AE39-AE26-AE36</f>
        <v>69228.28899999999</v>
      </c>
      <c r="AF40" s="102">
        <f>+AF39-AF26-AF36</f>
        <v>573175.91300000006</v>
      </c>
      <c r="AG40" s="182">
        <f>AF40/AD40%</f>
        <v>74.789845403467211</v>
      </c>
      <c r="AH40" s="102">
        <f>+AH39-AH26-AH36</f>
        <v>748527</v>
      </c>
      <c r="AI40" s="102">
        <f>+AI39-AI26-AI36</f>
        <v>62058.546666666669</v>
      </c>
      <c r="AJ40" s="102">
        <f>+AJ39-AJ26-AJ36</f>
        <v>535445.29733333329</v>
      </c>
      <c r="AK40" s="182">
        <f>AJ40/AH40%</f>
        <v>71.533197511022749</v>
      </c>
      <c r="AL40" s="102">
        <f>+AL39-AL26-AL36</f>
        <v>688891</v>
      </c>
      <c r="AM40" s="102">
        <f>+AM39-AM26-AM36</f>
        <v>51990.037666666663</v>
      </c>
      <c r="AN40" s="102">
        <f>+AN39-AN26-AN36</f>
        <v>475777.71333333326</v>
      </c>
      <c r="AO40" s="182">
        <f>AN40/AL40%</f>
        <v>69.06429512554719</v>
      </c>
      <c r="AP40" s="102">
        <f>+AP39-AP26-AP36</f>
        <v>741733</v>
      </c>
      <c r="AQ40" s="102">
        <f>+AQ39-AQ26-AQ36</f>
        <v>9135.0470000000023</v>
      </c>
      <c r="AR40" s="102">
        <f>+AR39-AR26-AR36</f>
        <v>318282.34733333334</v>
      </c>
      <c r="AS40" s="182">
        <f>AR40/AP40%</f>
        <v>42.91063594761637</v>
      </c>
      <c r="AT40" s="102">
        <f>+AT39-AT26-AT36</f>
        <v>706296</v>
      </c>
      <c r="AU40" s="102">
        <f>+AU39-AU26-AU36</f>
        <v>54676.753999999994</v>
      </c>
      <c r="AV40" s="102">
        <f>+AV39-AV26-AV36</f>
        <v>527739.74699999997</v>
      </c>
      <c r="AW40" s="182">
        <f>AV40/AT40%</f>
        <v>74.719345288660847</v>
      </c>
      <c r="AX40" s="102">
        <f>+AX39-AX26-AX36</f>
        <v>649362</v>
      </c>
      <c r="AY40" s="102">
        <f>+AY39-AY26-AY36</f>
        <v>49831.983333333337</v>
      </c>
      <c r="AZ40" s="102">
        <f>+AZ39-AZ26-AZ36</f>
        <v>445738.39866666665</v>
      </c>
      <c r="BA40" s="182">
        <f>AZ40/AX40%</f>
        <v>68.642513523530269</v>
      </c>
      <c r="BB40" s="102">
        <f>+BB39-BB26-BB36</f>
        <v>673319</v>
      </c>
      <c r="BC40" s="102">
        <f>+BC39-BC26-BC36</f>
        <v>51200.731666666667</v>
      </c>
      <c r="BD40" s="102">
        <f>+BD39-BD26-BD36</f>
        <v>457301.37666666665</v>
      </c>
      <c r="BE40" s="182">
        <f t="shared" si="6"/>
        <v>67.91749180799394</v>
      </c>
    </row>
    <row r="41" spans="1:57" s="108" customFormat="1" x14ac:dyDescent="0.25">
      <c r="A41" s="104" t="s">
        <v>60</v>
      </c>
      <c r="B41" s="105">
        <f>+B9-B19-B22-B31</f>
        <v>6523000</v>
      </c>
      <c r="C41" s="105">
        <f>+C9-C19-C22-C31</f>
        <v>402834.60400000005</v>
      </c>
      <c r="D41" s="105">
        <f>+D9-D19-D22-D31-146.98</f>
        <v>5208403.1219999986</v>
      </c>
      <c r="E41" s="85">
        <f t="shared" si="0"/>
        <v>79.846744166794394</v>
      </c>
      <c r="F41" s="105">
        <f t="shared" si="1"/>
        <v>4564930</v>
      </c>
      <c r="G41" s="105">
        <f t="shared" si="2"/>
        <v>233744.55600000007</v>
      </c>
      <c r="H41" s="105">
        <f t="shared" si="3"/>
        <v>3534266.9619999984</v>
      </c>
      <c r="I41" s="85">
        <f t="shared" si="4"/>
        <v>77.422150219170902</v>
      </c>
      <c r="J41" s="105">
        <f>+N41+R41+V41+Z41+AD41+AH41+AL41+AP41+AT41+AX41+BB41</f>
        <v>1958070</v>
      </c>
      <c r="K41" s="105">
        <f>+O41+S41+W41+AA41+AE41+AI41+AM41+AQ41+AU41+AY41+BC41</f>
        <v>169090.04799999998</v>
      </c>
      <c r="L41" s="105">
        <f>+P41+T41+X41+AB41+AF41+AJ41+AN41+AR41+AV41+AZ41+BD41</f>
        <v>1674136.16</v>
      </c>
      <c r="M41" s="85">
        <f t="shared" si="5"/>
        <v>85.49930084215579</v>
      </c>
      <c r="N41" s="105">
        <f>+N9-N11-N12-N19-N22-N31</f>
        <v>867083</v>
      </c>
      <c r="O41" s="105">
        <f>+O9-O19-O22-O31-O11-O12-O23-O33-O28</f>
        <v>47774.696000000011</v>
      </c>
      <c r="P41" s="105">
        <f>+P9-P19-P22-P31-P11-P12-P23-P33-P28</f>
        <v>583836.598</v>
      </c>
      <c r="Q41" s="85">
        <f>P41/N41%</f>
        <v>67.333415370846851</v>
      </c>
      <c r="R41" s="105">
        <f>+R9-R11-R12-R19-R22-R31</f>
        <v>156050</v>
      </c>
      <c r="S41" s="105">
        <f>+S9-S19-S22-S31-S11-S12-S23-S33-S28+0.885+(-11.463)</f>
        <v>12427.242000000002</v>
      </c>
      <c r="T41" s="105">
        <f>+T9-T19-T22-T31-T11-T12-T23-T33-T28+0.885</f>
        <v>124360.80600000003</v>
      </c>
      <c r="U41" s="85">
        <f>T41/R41%</f>
        <v>79.692922781159908</v>
      </c>
      <c r="V41" s="105">
        <f>+V9-V11-V12-V19-V22-V31</f>
        <v>121550</v>
      </c>
      <c r="W41" s="105">
        <f>+W9-W19-W22-W31-W11-W12-W23-W33-W28</f>
        <v>10059.311</v>
      </c>
      <c r="X41" s="105">
        <f>+X9-X19-X22-X31-X11-X12-X23-X33-X28</f>
        <v>134755.18000000002</v>
      </c>
      <c r="Y41" s="85">
        <f>X41/V41%</f>
        <v>110.86399012751956</v>
      </c>
      <c r="Z41" s="105">
        <f>+Z9-Z11-Z12-Z19-Z22-Z31</f>
        <v>162887</v>
      </c>
      <c r="AA41" s="105">
        <f>+AA9-AA19-AA22-AA31-AA11-AA12-AA23-AA33-AA28</f>
        <v>20795.701999999994</v>
      </c>
      <c r="AB41" s="105">
        <f>+AB9-AB19-AB22-AB31-AB11-AB12-AB23-AB33-AB28</f>
        <v>175864.17299999998</v>
      </c>
      <c r="AC41" s="85">
        <f>AB41/Z41%</f>
        <v>107.96697894859626</v>
      </c>
      <c r="AD41" s="105">
        <f>+AD9-AD11-AD12-AD19-AD22-AD31</f>
        <v>107650</v>
      </c>
      <c r="AE41" s="105">
        <f>+AE9-AE19-AE22-AE31-AE11-AE12-AE23-AE33-AE28</f>
        <v>16099.505999999998</v>
      </c>
      <c r="AF41" s="105">
        <f>+AF9-AF19-AF22-AF31-AF11-AF12-AF23-AF33-AF28</f>
        <v>111958.20600000001</v>
      </c>
      <c r="AG41" s="85">
        <f>AF41/AD41%</f>
        <v>104.0020492336275</v>
      </c>
      <c r="AH41" s="105">
        <f>+AH9-AH11-AH12-AH19-AH22-AH31</f>
        <v>102060</v>
      </c>
      <c r="AI41" s="105">
        <f>+AI9-AI19-AI22-AI31-AI11-AI12-AI23-AI33-AI28</f>
        <v>13275.186000000002</v>
      </c>
      <c r="AJ41" s="105">
        <f>+AJ9-AJ19-AJ22-AJ31-AJ11-AJ12-AJ23-AJ33-AJ28+10.4</f>
        <v>104956.28399999999</v>
      </c>
      <c r="AK41" s="85">
        <f>AJ41/AH41%</f>
        <v>102.83782480893591</v>
      </c>
      <c r="AL41" s="105">
        <f>+AL9-AL11-AL12-AL19-AL22-AL31</f>
        <v>87560</v>
      </c>
      <c r="AM41" s="105">
        <f>+AM9-AM19-AM22-AM31-AM11-AM12-AM23-AM33-AM28</f>
        <v>9487.4409999999989</v>
      </c>
      <c r="AN41" s="105">
        <f>+AN9-AN19-AN22-AN31-AN11-AN12-AN23-AN33-AN28</f>
        <v>82054.225999999995</v>
      </c>
      <c r="AO41" s="85">
        <f>AN41/AL41%</f>
        <v>93.711998629511186</v>
      </c>
      <c r="AP41" s="105">
        <f>+AP9-AP11-AP12-AP19-AP22-AP31</f>
        <v>98000</v>
      </c>
      <c r="AQ41" s="105">
        <f>+AQ9-AQ19-AQ22-AQ31-AQ11-AQ12-AQ23-AQ33-AQ28+5.32</f>
        <v>12377.580000000002</v>
      </c>
      <c r="AR41" s="105">
        <f>+AR9-AR19-AR22-AR31-AR11-AR12-AR23-AR33-AR28+9.558</f>
        <v>98218.779999999984</v>
      </c>
      <c r="AS41" s="85">
        <f>AR41/AP41%</f>
        <v>100.22324489795916</v>
      </c>
      <c r="AT41" s="105">
        <f>+AT9-AT11-AT12-AT19-AT22-AT31</f>
        <v>111050</v>
      </c>
      <c r="AU41" s="105">
        <f>+AU9-AU19-AU22-AU31-AU11-AU12-AU23-AU33-AU28</f>
        <v>11975.407999999999</v>
      </c>
      <c r="AV41" s="105">
        <f>+AV9-AV19-AV22-AV31-AV11-AV12-AV23-AV33-AV28</f>
        <v>115357.94600000001</v>
      </c>
      <c r="AW41" s="85">
        <f>AV41/AT41%</f>
        <v>103.87928500675372</v>
      </c>
      <c r="AX41" s="105">
        <f>+AX9-AX11-AX12-AX19-AX22-AX31-AX20</f>
        <v>77130</v>
      </c>
      <c r="AY41" s="105">
        <f>+AY9-AY19-AY22-AY31-AY11-AY12-AY23-AY33-AY28-AY20</f>
        <v>7437.6670000000004</v>
      </c>
      <c r="AZ41" s="105">
        <f t="shared" ref="AZ41" si="9">+AZ9-AZ19-AZ22-AZ31-AZ11-AZ12-AZ23-AZ33-AZ28-AZ20</f>
        <v>69874.22099999999</v>
      </c>
      <c r="BA41" s="85">
        <f>AZ41/AX41%</f>
        <v>90.592792687670155</v>
      </c>
      <c r="BB41" s="105">
        <f>+BB9-BB11-BB12-BB19-BB22-BB31</f>
        <v>67050</v>
      </c>
      <c r="BC41" s="105">
        <f>+BC9-BC19-BC22-BC31-BC11-BC12-BC23-BC33-BC28</f>
        <v>7380.3089999999984</v>
      </c>
      <c r="BD41" s="105">
        <f>+BD9-BD19-BD22-BD31-BD11-BD12-BD23-BD33-BD28</f>
        <v>72899.739999999991</v>
      </c>
      <c r="BE41" s="85">
        <f t="shared" si="6"/>
        <v>108.72444444444443</v>
      </c>
    </row>
    <row r="42" spans="1:57" s="108" customFormat="1" hidden="1" x14ac:dyDescent="0.25">
      <c r="A42" s="104" t="s">
        <v>115</v>
      </c>
      <c r="B42" s="105">
        <v>6892230</v>
      </c>
      <c r="C42" s="105">
        <v>6892230</v>
      </c>
      <c r="D42" s="105">
        <v>6892230</v>
      </c>
      <c r="E42" s="85">
        <f t="shared" si="0"/>
        <v>100</v>
      </c>
      <c r="F42" s="105">
        <f t="shared" si="1"/>
        <v>-68922300</v>
      </c>
      <c r="G42" s="105">
        <f t="shared" si="2"/>
        <v>-68922300</v>
      </c>
      <c r="H42" s="105">
        <f t="shared" si="3"/>
        <v>-68922300</v>
      </c>
      <c r="I42" s="85">
        <f t="shared" si="4"/>
        <v>100</v>
      </c>
      <c r="J42" s="105">
        <f>+N42+R42+V42+Z42+AD42+AH42+AL42+AP42+AT42+AX42+BB42</f>
        <v>75814530</v>
      </c>
      <c r="K42" s="105">
        <f>+O42+S42+W42+AA42+AE42+AI42+AM42+AQ42+AU42+AY42+BC42</f>
        <v>75814530</v>
      </c>
      <c r="L42" s="105">
        <f>+P42+T42+X42+AB42+AF42+AJ42+AN42+AR42+AV42+AZ42+BD42</f>
        <v>75814530</v>
      </c>
      <c r="M42" s="85">
        <f t="shared" si="5"/>
        <v>100</v>
      </c>
      <c r="N42" s="105">
        <v>6892230</v>
      </c>
      <c r="O42" s="105">
        <v>6892230</v>
      </c>
      <c r="P42" s="105">
        <v>6892230</v>
      </c>
      <c r="Q42" s="85">
        <f>P42/N42%</f>
        <v>100</v>
      </c>
      <c r="R42" s="105">
        <v>6892230</v>
      </c>
      <c r="S42" s="105">
        <v>6892230</v>
      </c>
      <c r="T42" s="105">
        <v>6892230</v>
      </c>
      <c r="U42" s="85">
        <f>T42/R42%</f>
        <v>100</v>
      </c>
      <c r="V42" s="105">
        <v>6892230</v>
      </c>
      <c r="W42" s="105">
        <v>6892230</v>
      </c>
      <c r="X42" s="105">
        <v>6892230</v>
      </c>
      <c r="Y42" s="85">
        <f>X42/V42%</f>
        <v>100</v>
      </c>
      <c r="Z42" s="105">
        <v>6892230</v>
      </c>
      <c r="AA42" s="105">
        <v>6892230</v>
      </c>
      <c r="AB42" s="105">
        <v>6892230</v>
      </c>
      <c r="AC42" s="85">
        <f>AB42/Z42%</f>
        <v>100</v>
      </c>
      <c r="AD42" s="105">
        <v>6892230</v>
      </c>
      <c r="AE42" s="105">
        <v>6892230</v>
      </c>
      <c r="AF42" s="105">
        <v>6892230</v>
      </c>
      <c r="AG42" s="85">
        <f>AF42/AD42%</f>
        <v>100</v>
      </c>
      <c r="AH42" s="105">
        <v>6892230</v>
      </c>
      <c r="AI42" s="105">
        <v>6892230</v>
      </c>
      <c r="AJ42" s="105">
        <v>6892230</v>
      </c>
      <c r="AK42" s="85">
        <f>AJ42/AH42%</f>
        <v>100</v>
      </c>
      <c r="AL42" s="105">
        <v>6892230</v>
      </c>
      <c r="AM42" s="105">
        <v>6892230</v>
      </c>
      <c r="AN42" s="105">
        <v>6892230</v>
      </c>
      <c r="AO42" s="85">
        <f>AN42/AL42%</f>
        <v>100</v>
      </c>
      <c r="AP42" s="105">
        <v>6892230</v>
      </c>
      <c r="AQ42" s="105">
        <v>6892230</v>
      </c>
      <c r="AR42" s="105">
        <v>6892230</v>
      </c>
      <c r="AS42" s="85">
        <f>AR42/AP42%</f>
        <v>100</v>
      </c>
      <c r="AT42" s="105">
        <v>6892230</v>
      </c>
      <c r="AU42" s="105">
        <v>6892230</v>
      </c>
      <c r="AV42" s="105">
        <v>6892230</v>
      </c>
      <c r="AW42" s="85">
        <f>AV42/AT42%</f>
        <v>100</v>
      </c>
      <c r="AX42" s="105">
        <v>6892230</v>
      </c>
      <c r="AY42" s="105">
        <v>6892230</v>
      </c>
      <c r="AZ42" s="105">
        <v>6892230</v>
      </c>
      <c r="BA42" s="85">
        <f>AZ42/AX42%</f>
        <v>100</v>
      </c>
      <c r="BB42" s="105">
        <v>6892230</v>
      </c>
      <c r="BC42" s="105">
        <v>6892230</v>
      </c>
      <c r="BD42" s="105">
        <v>6892230</v>
      </c>
      <c r="BE42" s="85">
        <f t="shared" si="6"/>
        <v>100</v>
      </c>
    </row>
    <row r="43" spans="1:57" s="108" customFormat="1" hidden="1" x14ac:dyDescent="0.25">
      <c r="A43" s="104" t="s">
        <v>116</v>
      </c>
      <c r="B43" s="105">
        <v>2021825</v>
      </c>
      <c r="C43" s="105">
        <v>2021825</v>
      </c>
      <c r="D43" s="105">
        <v>2021825</v>
      </c>
      <c r="E43" s="85">
        <f t="shared" si="0"/>
        <v>100</v>
      </c>
      <c r="F43" s="105">
        <f t="shared" si="1"/>
        <v>-20218250</v>
      </c>
      <c r="G43" s="105">
        <f t="shared" si="2"/>
        <v>-20218250</v>
      </c>
      <c r="H43" s="105">
        <f t="shared" si="3"/>
        <v>-20218250</v>
      </c>
      <c r="I43" s="85">
        <f t="shared" si="4"/>
        <v>100</v>
      </c>
      <c r="J43" s="105">
        <f>+N43+R43+V43+Z43+AD43+AH43+AL43+AP43+AT43+AX43+BB43</f>
        <v>22240075</v>
      </c>
      <c r="K43" s="105">
        <f>+O43+S43+W43+AA43+AE43+AI43+AM43+AQ43+AU43+AY43+BC43</f>
        <v>22240075</v>
      </c>
      <c r="L43" s="105">
        <f>+P43+T43+X43+AB43+AF43+AJ43+AN43+AR43+AV43+AZ43+BD43</f>
        <v>22240075</v>
      </c>
      <c r="M43" s="85">
        <f t="shared" si="5"/>
        <v>100</v>
      </c>
      <c r="N43" s="105">
        <v>2021825</v>
      </c>
      <c r="O43" s="105">
        <v>2021825</v>
      </c>
      <c r="P43" s="105">
        <v>2021825</v>
      </c>
      <c r="Q43" s="85">
        <f>P43/N43%</f>
        <v>100</v>
      </c>
      <c r="R43" s="105">
        <v>2021825</v>
      </c>
      <c r="S43" s="105">
        <v>2021825</v>
      </c>
      <c r="T43" s="105">
        <v>2021825</v>
      </c>
      <c r="U43" s="85">
        <f>T43/R43%</f>
        <v>100</v>
      </c>
      <c r="V43" s="105">
        <v>2021825</v>
      </c>
      <c r="W43" s="105">
        <v>2021825</v>
      </c>
      <c r="X43" s="105">
        <v>2021825</v>
      </c>
      <c r="Y43" s="85">
        <f>X43/V43%</f>
        <v>100</v>
      </c>
      <c r="Z43" s="105">
        <v>2021825</v>
      </c>
      <c r="AA43" s="105">
        <v>2021825</v>
      </c>
      <c r="AB43" s="105">
        <v>2021825</v>
      </c>
      <c r="AC43" s="85">
        <f>AB43/Z43%</f>
        <v>100</v>
      </c>
      <c r="AD43" s="105">
        <v>2021825</v>
      </c>
      <c r="AE43" s="105">
        <v>2021825</v>
      </c>
      <c r="AF43" s="105">
        <v>2021825</v>
      </c>
      <c r="AG43" s="85">
        <f>AF43/AD43%</f>
        <v>100</v>
      </c>
      <c r="AH43" s="105">
        <v>2021825</v>
      </c>
      <c r="AI43" s="105">
        <v>2021825</v>
      </c>
      <c r="AJ43" s="105">
        <v>2021825</v>
      </c>
      <c r="AK43" s="85">
        <f>AJ43/AH43%</f>
        <v>100</v>
      </c>
      <c r="AL43" s="105">
        <v>2021825</v>
      </c>
      <c r="AM43" s="105">
        <v>2021825</v>
      </c>
      <c r="AN43" s="105">
        <v>2021825</v>
      </c>
      <c r="AO43" s="85">
        <f>AN43/AL43%</f>
        <v>100</v>
      </c>
      <c r="AP43" s="105">
        <v>2021825</v>
      </c>
      <c r="AQ43" s="105">
        <v>2021825</v>
      </c>
      <c r="AR43" s="105">
        <v>2021825</v>
      </c>
      <c r="AS43" s="85">
        <f>AR43/AP43%</f>
        <v>100</v>
      </c>
      <c r="AT43" s="105">
        <v>2021825</v>
      </c>
      <c r="AU43" s="105">
        <v>2021825</v>
      </c>
      <c r="AV43" s="105">
        <v>2021825</v>
      </c>
      <c r="AW43" s="85">
        <f>AV43/AT43%</f>
        <v>100</v>
      </c>
      <c r="AX43" s="105">
        <v>2021825</v>
      </c>
      <c r="AY43" s="105">
        <v>2021825</v>
      </c>
      <c r="AZ43" s="105">
        <v>2021825</v>
      </c>
      <c r="BA43" s="85">
        <f>AZ43/AX43%</f>
        <v>100</v>
      </c>
      <c r="BB43" s="105">
        <v>2021825</v>
      </c>
      <c r="BC43" s="105">
        <v>2021825</v>
      </c>
      <c r="BD43" s="105">
        <v>2021825</v>
      </c>
      <c r="BE43" s="85">
        <f t="shared" si="6"/>
        <v>100</v>
      </c>
    </row>
    <row r="44" spans="1:57" s="108" customFormat="1" x14ac:dyDescent="0.25">
      <c r="A44" s="104" t="s">
        <v>88</v>
      </c>
      <c r="B44" s="73">
        <v>8816122</v>
      </c>
      <c r="C44" s="73">
        <v>3673384.166666667</v>
      </c>
      <c r="D44" s="73">
        <v>4408061</v>
      </c>
      <c r="E44" s="85">
        <f t="shared" si="0"/>
        <v>50</v>
      </c>
      <c r="F44" s="73">
        <f t="shared" si="1"/>
        <v>2487886</v>
      </c>
      <c r="G44" s="73">
        <f t="shared" si="2"/>
        <v>3274628.0833333335</v>
      </c>
      <c r="H44" s="73">
        <f t="shared" si="3"/>
        <v>461609.00000000047</v>
      </c>
      <c r="I44" s="85">
        <f t="shared" si="4"/>
        <v>18.554266554014148</v>
      </c>
      <c r="J44" s="73">
        <f>+N44+R44+V44+Z44+AD44+AH44+AL44+AP44+AT44+AX44+BB44</f>
        <v>6328236</v>
      </c>
      <c r="K44" s="73">
        <f>+O44+S44+W44+AA44+AE44+AI44+AM44+AQ44+AU44+AY44+BC44</f>
        <v>398756.08333333331</v>
      </c>
      <c r="L44" s="73">
        <f>+P44+T44+X44+AB44+AF44+AJ44+AN44+AR44+AV44+AZ44+BD44</f>
        <v>3946451.9999999995</v>
      </c>
      <c r="M44" s="85">
        <f t="shared" si="5"/>
        <v>62.362592039867025</v>
      </c>
      <c r="N44" s="73">
        <v>113861</v>
      </c>
      <c r="O44" s="73"/>
      <c r="P44" s="73">
        <v>60672</v>
      </c>
      <c r="Q44" s="85">
        <f>P44/N44%</f>
        <v>53.286024187386381</v>
      </c>
      <c r="R44" s="73">
        <v>347374</v>
      </c>
      <c r="S44" s="73">
        <f>26785-S45</f>
        <v>19964.75</v>
      </c>
      <c r="T44" s="73">
        <f>237551-T45</f>
        <v>196629.5</v>
      </c>
      <c r="U44" s="85">
        <f>T44/R44%</f>
        <v>56.604553017784866</v>
      </c>
      <c r="V44" s="73">
        <v>557023</v>
      </c>
      <c r="W44" s="73">
        <f>40000-W45</f>
        <v>36005.333333333336</v>
      </c>
      <c r="X44" s="73">
        <f>377180-X45</f>
        <v>349217.33333333331</v>
      </c>
      <c r="Y44" s="85">
        <f>X44/V44%</f>
        <v>62.693521332751672</v>
      </c>
      <c r="Z44" s="73">
        <v>870968</v>
      </c>
      <c r="AA44" s="73">
        <f>72678-AA45</f>
        <v>65189.166666666664</v>
      </c>
      <c r="AB44" s="73">
        <f>640055-AB45</f>
        <v>580144.33333333337</v>
      </c>
      <c r="AC44" s="85">
        <f>AB44/Z44%</f>
        <v>66.609144461488057</v>
      </c>
      <c r="AD44" s="73">
        <v>688732</v>
      </c>
      <c r="AE44" s="73">
        <f>60000-AE45</f>
        <v>54939.75</v>
      </c>
      <c r="AF44" s="73">
        <f>516090-AF45</f>
        <v>475608</v>
      </c>
      <c r="AG44" s="85">
        <f>AF44/AD44%</f>
        <v>69.055597823246202</v>
      </c>
      <c r="AH44" s="73">
        <v>656467</v>
      </c>
      <c r="AI44" s="73">
        <f>53675-AI45</f>
        <v>48822.916666666664</v>
      </c>
      <c r="AJ44" s="73">
        <f>473480-AJ45</f>
        <v>434663.33333333331</v>
      </c>
      <c r="AK44" s="85">
        <f>AJ44/AH44%</f>
        <v>66.212518425653272</v>
      </c>
      <c r="AL44" s="73">
        <v>611331</v>
      </c>
      <c r="AM44" s="73">
        <f>47515-AM45</f>
        <v>43435.166666666664</v>
      </c>
      <c r="AN44" s="73">
        <f>440222-AN45</f>
        <v>407583.33333333331</v>
      </c>
      <c r="AO44" s="85">
        <f>AN44/AL44%</f>
        <v>66.671464940160618</v>
      </c>
      <c r="AP44" s="73">
        <v>663733</v>
      </c>
      <c r="AQ44" s="73">
        <f>0-AQ45</f>
        <v>0</v>
      </c>
      <c r="AR44" s="73">
        <f>260000-AR45</f>
        <v>239070.33333333334</v>
      </c>
      <c r="AS44" s="85">
        <f>AR44/AP44%</f>
        <v>36.019051837611414</v>
      </c>
      <c r="AT44" s="73">
        <v>610246</v>
      </c>
      <c r="AU44" s="73">
        <f>47000-AU45</f>
        <v>42152</v>
      </c>
      <c r="AV44" s="73">
        <f>456515-AV45</f>
        <v>417731</v>
      </c>
      <c r="AW44" s="85">
        <f>AV44/AT44%</f>
        <v>68.452886213100939</v>
      </c>
      <c r="AX44" s="73">
        <v>587232</v>
      </c>
      <c r="AY44" s="73">
        <f>48000-AY45</f>
        <v>43430.833333333336</v>
      </c>
      <c r="AZ44" s="73">
        <f>428007-AZ45</f>
        <v>391453.66666666669</v>
      </c>
      <c r="BA44" s="85">
        <f>AZ44/AX44%</f>
        <v>66.660820027973045</v>
      </c>
      <c r="BB44" s="73">
        <v>621269</v>
      </c>
      <c r="BC44" s="73">
        <f>50000-BC45</f>
        <v>44816.166666666664</v>
      </c>
      <c r="BD44" s="73">
        <f>429966-BD45</f>
        <v>393679.16666666669</v>
      </c>
      <c r="BE44" s="85">
        <f t="shared" si="6"/>
        <v>63.366941963411456</v>
      </c>
    </row>
    <row r="45" spans="1:57" s="108" customFormat="1" x14ac:dyDescent="0.25">
      <c r="A45" s="104" t="s">
        <v>77</v>
      </c>
      <c r="B45" s="73">
        <v>1222330</v>
      </c>
      <c r="C45" s="73">
        <v>509304.16666666663</v>
      </c>
      <c r="D45" s="73">
        <v>611165</v>
      </c>
      <c r="E45" s="85">
        <f t="shared" si="0"/>
        <v>50</v>
      </c>
      <c r="F45" s="73">
        <f t="shared" si="1"/>
        <v>437921</v>
      </c>
      <c r="G45" s="73">
        <f t="shared" si="2"/>
        <v>462407.24999999994</v>
      </c>
      <c r="H45" s="73">
        <f t="shared" si="3"/>
        <v>237879.00000000012</v>
      </c>
      <c r="I45" s="85">
        <f t="shared" si="4"/>
        <v>54.320071428408347</v>
      </c>
      <c r="J45" s="73">
        <f>+N45+R45+V45+Z45+AD45+AH45+AL45+AP45+AT45+AX45+BB45</f>
        <v>784409</v>
      </c>
      <c r="K45" s="73">
        <f>+O45+S45+W45+AA45+AE45+AI45+AM45+AQ45+AU45+AY45+BC45</f>
        <v>46896.916666666664</v>
      </c>
      <c r="L45" s="73">
        <f>+P45+T45+X45+AB45+AF45+AJ45+AN45+AR45+AV45+AZ45+BD45</f>
        <v>373285.99999999988</v>
      </c>
      <c r="M45" s="85">
        <f t="shared" si="5"/>
        <v>47.588184225321214</v>
      </c>
      <c r="N45" s="73">
        <v>158857</v>
      </c>
      <c r="O45" s="73"/>
      <c r="P45" s="73"/>
      <c r="Q45" s="85">
        <f>P45/N45%</f>
        <v>0</v>
      </c>
      <c r="R45" s="73">
        <v>81843</v>
      </c>
      <c r="S45" s="73">
        <f>+R45/12</f>
        <v>6820.25</v>
      </c>
      <c r="T45" s="73">
        <f>+R45/12*6</f>
        <v>40921.5</v>
      </c>
      <c r="U45" s="85">
        <f>T45/R45%</f>
        <v>50</v>
      </c>
      <c r="V45" s="73">
        <v>47936</v>
      </c>
      <c r="W45" s="73">
        <f>+V45/12</f>
        <v>3994.6666666666665</v>
      </c>
      <c r="X45" s="73">
        <f>+V45/12*7</f>
        <v>27962.666666666664</v>
      </c>
      <c r="Y45" s="85">
        <f>X45/V45%</f>
        <v>58.333333333333329</v>
      </c>
      <c r="Z45" s="73">
        <v>89866</v>
      </c>
      <c r="AA45" s="73">
        <f>+Z45/12</f>
        <v>7488.833333333333</v>
      </c>
      <c r="AB45" s="73">
        <f>+Z45/12*8</f>
        <v>59910.666666666664</v>
      </c>
      <c r="AC45" s="85">
        <f>AB45/Z45%</f>
        <v>66.666666666666671</v>
      </c>
      <c r="AD45" s="73">
        <v>60723</v>
      </c>
      <c r="AE45" s="73">
        <f>+AD45/12</f>
        <v>5060.25</v>
      </c>
      <c r="AF45" s="73">
        <f>+AD45/12*8</f>
        <v>40482</v>
      </c>
      <c r="AG45" s="85">
        <f>AF45/AD45%</f>
        <v>66.666666666666671</v>
      </c>
      <c r="AH45" s="73">
        <v>58225</v>
      </c>
      <c r="AI45" s="73">
        <f>+AH45/12</f>
        <v>4852.083333333333</v>
      </c>
      <c r="AJ45" s="73">
        <f>+AH45/12*8</f>
        <v>38816.666666666664</v>
      </c>
      <c r="AK45" s="85">
        <f>AJ45/AH45%</f>
        <v>66.666666666666657</v>
      </c>
      <c r="AL45" s="73">
        <v>48958</v>
      </c>
      <c r="AM45" s="73">
        <f>+AL45/12</f>
        <v>4079.8333333333335</v>
      </c>
      <c r="AN45" s="73">
        <f>+AL45/12*8</f>
        <v>32638.666666666668</v>
      </c>
      <c r="AO45" s="85">
        <f>AN45/AL45%</f>
        <v>66.666666666666671</v>
      </c>
      <c r="AP45" s="73">
        <v>62789</v>
      </c>
      <c r="AQ45" s="73"/>
      <c r="AR45" s="73">
        <f>+AP45/12*4</f>
        <v>20929.666666666668</v>
      </c>
      <c r="AS45" s="85">
        <f>AR45/AP45%</f>
        <v>33.333333333333336</v>
      </c>
      <c r="AT45" s="73">
        <v>58176</v>
      </c>
      <c r="AU45" s="73">
        <f>+AT45/12</f>
        <v>4848</v>
      </c>
      <c r="AV45" s="73">
        <f>+AT45/12*8</f>
        <v>38784</v>
      </c>
      <c r="AW45" s="85">
        <f>AV45/AT45%</f>
        <v>66.666666666666671</v>
      </c>
      <c r="AX45" s="73">
        <v>54830</v>
      </c>
      <c r="AY45" s="73">
        <f>+AX45/12</f>
        <v>4569.166666666667</v>
      </c>
      <c r="AZ45" s="73">
        <f>+AX45/12*8</f>
        <v>36553.333333333336</v>
      </c>
      <c r="BA45" s="85">
        <f>AZ45/AX45%</f>
        <v>66.666666666666671</v>
      </c>
      <c r="BB45" s="73">
        <v>62206</v>
      </c>
      <c r="BC45" s="73">
        <f>+BB45/12</f>
        <v>5183.833333333333</v>
      </c>
      <c r="BD45" s="73">
        <f>+BB45/12*7</f>
        <v>36286.833333333328</v>
      </c>
      <c r="BE45" s="85">
        <f t="shared" si="6"/>
        <v>58.333333333333329</v>
      </c>
    </row>
    <row r="46" spans="1:57" s="108" customFormat="1" x14ac:dyDescent="0.25">
      <c r="A46" s="104" t="s">
        <v>61</v>
      </c>
      <c r="B46" s="73">
        <v>97267</v>
      </c>
      <c r="C46" s="73">
        <v>645</v>
      </c>
      <c r="D46" s="73">
        <v>9327</v>
      </c>
      <c r="E46" s="85">
        <f t="shared" si="0"/>
        <v>9.5890692629566043</v>
      </c>
      <c r="F46" s="73">
        <f t="shared" si="1"/>
        <v>97267</v>
      </c>
      <c r="G46" s="73">
        <f t="shared" si="2"/>
        <v>645</v>
      </c>
      <c r="H46" s="73">
        <f t="shared" si="3"/>
        <v>9327</v>
      </c>
      <c r="I46" s="85">
        <f t="shared" si="4"/>
        <v>9.5890692629566043</v>
      </c>
      <c r="J46" s="73">
        <f>+N46+R46+V46+Z46+AD46+AH46+AL46+AP46+AT46+AX46+BB46</f>
        <v>0</v>
      </c>
      <c r="K46" s="73">
        <f>+O46+S46+W46+AA46+AE46+AI46+AM46+AQ46+AU46+AY46+BC46</f>
        <v>0</v>
      </c>
      <c r="L46" s="73">
        <f>+P46+T46+X46+AB46+AF46+AJ46+AN46+AR46+AV46+AZ46+BD46</f>
        <v>0</v>
      </c>
      <c r="M46" s="85"/>
      <c r="N46" s="73"/>
      <c r="O46" s="73"/>
      <c r="P46" s="73"/>
      <c r="Q46" s="85"/>
      <c r="R46" s="73"/>
      <c r="S46" s="73"/>
      <c r="T46" s="73"/>
      <c r="U46" s="85"/>
      <c r="V46" s="73"/>
      <c r="W46" s="73"/>
      <c r="X46" s="73"/>
      <c r="Y46" s="85"/>
      <c r="Z46" s="73"/>
      <c r="AA46" s="73"/>
      <c r="AB46" s="73"/>
      <c r="AC46" s="85"/>
      <c r="AD46" s="73"/>
      <c r="AE46" s="73"/>
      <c r="AF46" s="73"/>
      <c r="AG46" s="85"/>
      <c r="AH46" s="73"/>
      <c r="AI46" s="73"/>
      <c r="AJ46" s="73"/>
      <c r="AK46" s="85"/>
      <c r="AL46" s="73"/>
      <c r="AM46" s="73"/>
      <c r="AN46" s="73"/>
      <c r="AO46" s="85"/>
      <c r="AP46" s="73"/>
      <c r="AQ46" s="73"/>
      <c r="AR46" s="73"/>
      <c r="AS46" s="85"/>
      <c r="AT46" s="73"/>
      <c r="AU46" s="73"/>
      <c r="AV46" s="73"/>
      <c r="AW46" s="85"/>
      <c r="AX46" s="73"/>
      <c r="AY46" s="73"/>
      <c r="AZ46" s="73"/>
      <c r="BA46" s="85"/>
      <c r="BB46" s="73"/>
      <c r="BC46" s="73"/>
      <c r="BD46" s="73"/>
      <c r="BE46" s="85"/>
    </row>
    <row r="47" spans="1:57" s="186" customFormat="1" x14ac:dyDescent="0.25">
      <c r="A47" s="106" t="s">
        <v>62</v>
      </c>
      <c r="B47" s="86">
        <v>4008994</v>
      </c>
      <c r="C47" s="86">
        <v>317348.20899999997</v>
      </c>
      <c r="D47" s="86">
        <v>2940566.0839999998</v>
      </c>
      <c r="E47" s="87">
        <f t="shared" si="0"/>
        <v>73.349226364519367</v>
      </c>
      <c r="F47" s="86">
        <f t="shared" si="1"/>
        <v>4007890</v>
      </c>
      <c r="G47" s="86">
        <f t="shared" si="2"/>
        <v>277618.30599999998</v>
      </c>
      <c r="H47" s="86">
        <f t="shared" si="3"/>
        <v>2312108.1809999999</v>
      </c>
      <c r="I47" s="87">
        <f t="shared" si="4"/>
        <v>57.688913143823804</v>
      </c>
      <c r="J47" s="86">
        <f>+N47+R47+V47+Z47+AD47+AH47+AL47+AP47+AT47+AX47+BB47</f>
        <v>1104</v>
      </c>
      <c r="K47" s="86">
        <f>+O47+S47+W47+AA47+AE47+AI47+AM47+AQ47+AU47+AY47+BC47</f>
        <v>39729.902999999998</v>
      </c>
      <c r="L47" s="86">
        <f>+P47+T47+X47+AB47+AF47+AJ47+AN47+AR47+AV47+AZ47+BD47</f>
        <v>628457.90300000005</v>
      </c>
      <c r="M47" s="88">
        <f t="shared" si="5"/>
        <v>56925.534692028996</v>
      </c>
      <c r="N47" s="86">
        <v>120</v>
      </c>
      <c r="O47" s="86">
        <v>9000</v>
      </c>
      <c r="P47" s="86">
        <v>20236</v>
      </c>
      <c r="Q47" s="87">
        <f>P47/N47%</f>
        <v>16863.333333333336</v>
      </c>
      <c r="R47" s="86">
        <v>120</v>
      </c>
      <c r="S47" s="86">
        <v>3153.9009999999998</v>
      </c>
      <c r="T47" s="86">
        <v>9987.9009999999998</v>
      </c>
      <c r="U47" s="87">
        <f>T47/R47%</f>
        <v>8323.2508333333335</v>
      </c>
      <c r="V47" s="86">
        <v>105</v>
      </c>
      <c r="W47" s="86">
        <v>54</v>
      </c>
      <c r="X47" s="86">
        <v>46838</v>
      </c>
      <c r="Y47" s="87">
        <f>X47/V47%</f>
        <v>44607.619047619046</v>
      </c>
      <c r="Z47" s="86">
        <v>120</v>
      </c>
      <c r="AA47" s="86">
        <v>10</v>
      </c>
      <c r="AB47" s="86">
        <v>56434</v>
      </c>
      <c r="AC47" s="87">
        <f>AB47/Z47%</f>
        <v>47028.333333333336</v>
      </c>
      <c r="AD47" s="86">
        <v>82</v>
      </c>
      <c r="AE47" s="86">
        <v>0</v>
      </c>
      <c r="AF47" s="86">
        <v>62282</v>
      </c>
      <c r="AG47" s="88">
        <f>AF47/AD47%</f>
        <v>75953.658536585368</v>
      </c>
      <c r="AH47" s="86">
        <v>120</v>
      </c>
      <c r="AI47" s="86">
        <v>4332</v>
      </c>
      <c r="AJ47" s="86">
        <v>51115</v>
      </c>
      <c r="AK47" s="88">
        <f>AJ47/AH47%</f>
        <v>42595.833333333336</v>
      </c>
      <c r="AL47" s="86">
        <v>120</v>
      </c>
      <c r="AM47" s="86">
        <v>0</v>
      </c>
      <c r="AN47" s="86">
        <v>55304</v>
      </c>
      <c r="AO47" s="87">
        <f>AN47/AL47%</f>
        <v>46086.666666666672</v>
      </c>
      <c r="AP47" s="86">
        <v>82</v>
      </c>
      <c r="AQ47" s="86">
        <v>12312</v>
      </c>
      <c r="AR47" s="86">
        <v>22958</v>
      </c>
      <c r="AS47" s="87">
        <f>AR47/AP47%</f>
        <v>27997.560975609758</v>
      </c>
      <c r="AT47" s="86">
        <v>70</v>
      </c>
      <c r="AU47" s="86">
        <v>0</v>
      </c>
      <c r="AV47" s="86">
        <v>165996</v>
      </c>
      <c r="AW47" s="88">
        <f>AV47/AT47%</f>
        <v>237137.14285714287</v>
      </c>
      <c r="AX47" s="86">
        <v>60</v>
      </c>
      <c r="AY47" s="86"/>
      <c r="AZ47" s="86">
        <v>70485</v>
      </c>
      <c r="BA47" s="88">
        <f>AZ47/AX47%</f>
        <v>117475</v>
      </c>
      <c r="BB47" s="86">
        <v>105</v>
      </c>
      <c r="BC47" s="86">
        <v>10868.002</v>
      </c>
      <c r="BD47" s="86">
        <v>66822.001999999993</v>
      </c>
      <c r="BE47" s="87">
        <f t="shared" si="6"/>
        <v>63640.001904761899</v>
      </c>
    </row>
    <row r="48" spans="1:57" s="186" customFormat="1" x14ac:dyDescent="0.25">
      <c r="A48" s="107"/>
      <c r="B48" s="89"/>
      <c r="C48" s="89"/>
      <c r="D48" s="89"/>
      <c r="E48" s="90"/>
      <c r="F48" s="89">
        <f t="shared" si="1"/>
        <v>0</v>
      </c>
      <c r="G48" s="89">
        <f t="shared" si="2"/>
        <v>0</v>
      </c>
      <c r="H48" s="89">
        <f t="shared" si="3"/>
        <v>0</v>
      </c>
      <c r="I48" s="90"/>
      <c r="J48" s="89">
        <f>+N48+R48+V48+Z48+AD48+AH48+AL48+AP48+AT48+AX48+BB48</f>
        <v>0</v>
      </c>
      <c r="K48" s="89">
        <f>+O48+S48+W48+AA48+AE48+AI48+AM48+AQ48+AU48+AY48+BC48</f>
        <v>0</v>
      </c>
      <c r="L48" s="89">
        <f>+P48+T48+X48+AB48+AF48+AJ48+AN48+AR48+AV48+AZ48+BD48</f>
        <v>0</v>
      </c>
      <c r="M48" s="90"/>
      <c r="N48" s="89"/>
      <c r="O48" s="89"/>
      <c r="P48" s="89"/>
      <c r="Q48" s="90"/>
      <c r="R48" s="89"/>
      <c r="S48" s="89"/>
      <c r="T48" s="89"/>
      <c r="U48" s="90"/>
      <c r="V48" s="89"/>
      <c r="W48" s="89"/>
      <c r="X48" s="89"/>
      <c r="Y48" s="90"/>
      <c r="Z48" s="89"/>
      <c r="AA48" s="89"/>
      <c r="AB48" s="89"/>
      <c r="AC48" s="90"/>
      <c r="AD48" s="89"/>
      <c r="AE48" s="89"/>
      <c r="AF48" s="89"/>
      <c r="AG48" s="90"/>
      <c r="AH48" s="89"/>
      <c r="AI48" s="89"/>
      <c r="AJ48" s="89"/>
      <c r="AK48" s="90"/>
      <c r="AL48" s="89"/>
      <c r="AM48" s="89"/>
      <c r="AN48" s="89"/>
      <c r="AO48" s="90"/>
      <c r="AP48" s="89"/>
      <c r="AQ48" s="89"/>
      <c r="AR48" s="89"/>
      <c r="AS48" s="90"/>
      <c r="AT48" s="89"/>
      <c r="AU48" s="89"/>
      <c r="AV48" s="89"/>
      <c r="AW48" s="90"/>
      <c r="AX48" s="89"/>
      <c r="AY48" s="89"/>
      <c r="AZ48" s="89"/>
      <c r="BA48" s="90"/>
      <c r="BB48" s="89"/>
      <c r="BC48" s="89"/>
      <c r="BD48" s="89"/>
      <c r="BE48" s="90"/>
    </row>
  </sheetData>
  <mergeCells count="19">
    <mergeCell ref="AL5:AO5"/>
    <mergeCell ref="AP5:AS5"/>
    <mergeCell ref="AT5:AW5"/>
    <mergeCell ref="AX5:BA5"/>
    <mergeCell ref="BB5:BE5"/>
    <mergeCell ref="AH5:AK5"/>
    <mergeCell ref="A1:U1"/>
    <mergeCell ref="R4:U4"/>
    <mergeCell ref="A5:A6"/>
    <mergeCell ref="B5:E5"/>
    <mergeCell ref="F5:I5"/>
    <mergeCell ref="J5:M5"/>
    <mergeCell ref="N5:Q5"/>
    <mergeCell ref="R5:U5"/>
    <mergeCell ref="V5:Y5"/>
    <mergeCell ref="Z5:AC5"/>
    <mergeCell ref="AD5:AG5"/>
    <mergeCell ref="B2:M2"/>
    <mergeCell ref="K4:M4"/>
  </mergeCells>
  <pageMargins left="0.24" right="0.16" top="0.75" bottom="0.75" header="0.3" footer="0.3"/>
  <pageSetup paperSize="9" scale="76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48"/>
  <sheetViews>
    <sheetView tabSelected="1" zoomScale="80" zoomScaleNormal="80" workbookViewId="0">
      <pane xSplit="13" ySplit="6" topLeftCell="N7" activePane="bottomRight" state="frozen"/>
      <selection pane="topRight" activeCell="N1" sqref="N1"/>
      <selection pane="bottomLeft" activeCell="A9" sqref="A9"/>
      <selection pane="bottomRight" activeCell="H23" sqref="H23"/>
    </sheetView>
  </sheetViews>
  <sheetFormatPr defaultColWidth="8.85546875" defaultRowHeight="15" x14ac:dyDescent="0.25"/>
  <cols>
    <col min="1" max="1" width="48" style="109" bestFit="1" customWidth="1"/>
    <col min="2" max="2" width="12.85546875" style="109" bestFit="1" customWidth="1"/>
    <col min="3" max="3" width="10.85546875" style="109" customWidth="1"/>
    <col min="4" max="4" width="13.140625" style="109" customWidth="1"/>
    <col min="5" max="5" width="8.42578125" style="109" bestFit="1" customWidth="1"/>
    <col min="6" max="6" width="12.85546875" style="109" bestFit="1" customWidth="1"/>
    <col min="7" max="7" width="10.42578125" style="109" customWidth="1"/>
    <col min="8" max="8" width="12.140625" style="109" customWidth="1"/>
    <col min="9" max="9" width="8.7109375" style="109" bestFit="1" customWidth="1"/>
    <col min="10" max="10" width="11.7109375" style="109" bestFit="1" customWidth="1"/>
    <col min="11" max="12" width="11.85546875" style="109" customWidth="1"/>
    <col min="13" max="13" width="11.5703125" style="109" bestFit="1" customWidth="1"/>
    <col min="14" max="14" width="11.7109375" style="109" bestFit="1" customWidth="1"/>
    <col min="15" max="15" width="11.28515625" style="109" customWidth="1"/>
    <col min="16" max="16" width="10.7109375" style="109" customWidth="1"/>
    <col min="17" max="17" width="10.5703125" style="109" bestFit="1" customWidth="1"/>
    <col min="18" max="18" width="10" style="109" bestFit="1" customWidth="1"/>
    <col min="19" max="19" width="10.85546875" style="109" customWidth="1"/>
    <col min="20" max="20" width="11.5703125" style="109" customWidth="1"/>
    <col min="21" max="21" width="9.85546875" style="109" customWidth="1"/>
    <col min="22" max="22" width="10" style="109" bestFit="1" customWidth="1"/>
    <col min="23" max="23" width="11.28515625" style="109" customWidth="1"/>
    <col min="24" max="24" width="11.140625" style="109" customWidth="1"/>
    <col min="25" max="26" width="11.7109375" style="109" bestFit="1" customWidth="1"/>
    <col min="27" max="27" width="11.42578125" style="109" customWidth="1"/>
    <col min="28" max="28" width="11.85546875" style="109" customWidth="1"/>
    <col min="29" max="29" width="11.7109375" style="109" bestFit="1" customWidth="1"/>
    <col min="30" max="30" width="10" style="109" bestFit="1" customWidth="1"/>
    <col min="31" max="31" width="11.28515625" style="109" customWidth="1"/>
    <col min="32" max="32" width="12.42578125" style="109" customWidth="1"/>
    <col min="33" max="33" width="11" style="109" customWidth="1"/>
    <col min="34" max="34" width="10" style="109" bestFit="1" customWidth="1"/>
    <col min="35" max="35" width="11.42578125" style="109" customWidth="1"/>
    <col min="36" max="36" width="12.28515625" style="109" customWidth="1"/>
    <col min="37" max="37" width="11.7109375" style="109" bestFit="1" customWidth="1"/>
    <col min="38" max="38" width="10" style="109" bestFit="1" customWidth="1"/>
    <col min="39" max="39" width="11" style="109" customWidth="1"/>
    <col min="40" max="40" width="11.28515625" style="109" customWidth="1"/>
    <col min="41" max="41" width="11" style="109" customWidth="1"/>
    <col min="42" max="42" width="10" style="109" bestFit="1" customWidth="1"/>
    <col min="43" max="43" width="11.28515625" style="109" customWidth="1"/>
    <col min="44" max="44" width="11.140625" style="109" customWidth="1"/>
    <col min="45" max="45" width="11.7109375" style="109" bestFit="1" customWidth="1"/>
    <col min="46" max="46" width="10.28515625" style="109" customWidth="1"/>
    <col min="47" max="47" width="11.42578125" style="109" customWidth="1"/>
    <col min="48" max="48" width="13" style="109" customWidth="1"/>
    <col min="49" max="49" width="14.28515625" style="109" bestFit="1" customWidth="1"/>
    <col min="50" max="50" width="10" style="109" bestFit="1" customWidth="1"/>
    <col min="51" max="51" width="11.140625" style="109" customWidth="1"/>
    <col min="52" max="52" width="11.7109375" style="109" customWidth="1"/>
    <col min="53" max="53" width="11.7109375" style="109" bestFit="1" customWidth="1"/>
    <col min="54" max="54" width="10" style="109" bestFit="1" customWidth="1"/>
    <col min="55" max="55" width="11.140625" style="109" customWidth="1"/>
    <col min="56" max="56" width="12.7109375" style="109" customWidth="1"/>
    <col min="57" max="57" width="11.7109375" style="109" bestFit="1" customWidth="1"/>
    <col min="58" max="16384" width="8.85546875" style="109"/>
  </cols>
  <sheetData>
    <row r="1" spans="1:57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37"/>
      <c r="L1" s="136"/>
      <c r="M1" s="188"/>
      <c r="N1" s="188"/>
      <c r="O1" s="188"/>
      <c r="P1" s="189"/>
      <c r="Q1" s="188"/>
      <c r="R1" s="188"/>
      <c r="S1" s="188"/>
      <c r="T1" s="190"/>
      <c r="U1" s="188"/>
      <c r="X1" s="119"/>
      <c r="AB1" s="120"/>
      <c r="AF1" s="120"/>
      <c r="AJ1" s="120"/>
      <c r="AN1" s="120"/>
      <c r="AR1" s="120"/>
      <c r="AV1" s="120"/>
      <c r="AY1" s="120"/>
      <c r="AZ1" s="120"/>
      <c r="BD1" s="120"/>
    </row>
    <row r="2" spans="1:57" ht="18.75" x14ac:dyDescent="0.3">
      <c r="A2" s="156"/>
      <c r="B2" s="155" t="s">
        <v>125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191"/>
      <c r="P2" s="191"/>
      <c r="Q2" s="192"/>
      <c r="R2" s="192"/>
      <c r="S2" s="191"/>
      <c r="T2" s="191"/>
      <c r="U2" s="192"/>
      <c r="V2" s="193"/>
      <c r="W2" s="191"/>
      <c r="X2" s="191"/>
      <c r="Y2" s="193"/>
      <c r="Z2" s="193"/>
      <c r="AA2" s="191"/>
      <c r="AB2" s="191"/>
      <c r="AC2" s="193"/>
      <c r="AD2" s="193"/>
      <c r="AE2" s="191"/>
      <c r="AF2" s="191"/>
      <c r="AG2" s="193"/>
      <c r="AH2" s="193"/>
      <c r="AI2" s="191"/>
      <c r="AJ2" s="191"/>
      <c r="AK2" s="193"/>
      <c r="AL2" s="193"/>
      <c r="AM2" s="191"/>
      <c r="AN2" s="191"/>
      <c r="AO2" s="193"/>
      <c r="AP2" s="193"/>
      <c r="AQ2" s="191"/>
      <c r="AR2" s="191"/>
      <c r="AS2" s="193"/>
      <c r="AT2" s="193"/>
      <c r="AU2" s="191"/>
      <c r="AV2" s="191"/>
      <c r="AW2" s="193"/>
      <c r="AX2" s="193"/>
      <c r="AY2" s="191"/>
      <c r="AZ2" s="191"/>
      <c r="BA2" s="193"/>
      <c r="BB2" s="193"/>
      <c r="BC2" s="191"/>
      <c r="BD2" s="191"/>
    </row>
    <row r="3" spans="1:57" x14ac:dyDescent="0.25">
      <c r="A3" s="194"/>
      <c r="B3" s="195"/>
      <c r="C3" s="196"/>
      <c r="D3" s="118"/>
      <c r="E3" s="197"/>
      <c r="F3" s="198"/>
      <c r="H3" s="118"/>
      <c r="J3" s="118"/>
      <c r="K3" s="199"/>
      <c r="L3" s="164" t="s">
        <v>0</v>
      </c>
      <c r="M3" s="164"/>
      <c r="N3" s="166"/>
      <c r="O3" s="200"/>
      <c r="P3" s="200"/>
      <c r="Q3" s="200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</row>
    <row r="4" spans="1:57" x14ac:dyDescent="0.25">
      <c r="A4" s="201" t="s">
        <v>1</v>
      </c>
      <c r="B4" s="202" t="s">
        <v>91</v>
      </c>
      <c r="C4" s="202"/>
      <c r="D4" s="202"/>
      <c r="E4" s="202"/>
      <c r="F4" s="202" t="s">
        <v>92</v>
      </c>
      <c r="G4" s="202"/>
      <c r="H4" s="202"/>
      <c r="I4" s="202"/>
      <c r="J4" s="202" t="s">
        <v>93</v>
      </c>
      <c r="K4" s="202"/>
      <c r="L4" s="202"/>
      <c r="M4" s="202"/>
      <c r="N4" s="202" t="s">
        <v>94</v>
      </c>
      <c r="O4" s="202"/>
      <c r="P4" s="202"/>
      <c r="Q4" s="202"/>
      <c r="R4" s="202" t="s">
        <v>95</v>
      </c>
      <c r="S4" s="202"/>
      <c r="T4" s="202"/>
      <c r="U4" s="202"/>
      <c r="V4" s="202" t="s">
        <v>96</v>
      </c>
      <c r="W4" s="202"/>
      <c r="X4" s="202"/>
      <c r="Y4" s="202"/>
      <c r="Z4" s="202" t="s">
        <v>97</v>
      </c>
      <c r="AA4" s="202"/>
      <c r="AB4" s="202"/>
      <c r="AC4" s="202"/>
      <c r="AD4" s="202" t="s">
        <v>98</v>
      </c>
      <c r="AE4" s="202"/>
      <c r="AF4" s="202"/>
      <c r="AG4" s="202"/>
      <c r="AH4" s="202" t="s">
        <v>99</v>
      </c>
      <c r="AI4" s="202"/>
      <c r="AJ4" s="202"/>
      <c r="AK4" s="202"/>
      <c r="AL4" s="202" t="s">
        <v>100</v>
      </c>
      <c r="AM4" s="202"/>
      <c r="AN4" s="202"/>
      <c r="AO4" s="202"/>
      <c r="AP4" s="202" t="s">
        <v>101</v>
      </c>
      <c r="AQ4" s="202"/>
      <c r="AR4" s="202"/>
      <c r="AS4" s="202"/>
      <c r="AT4" s="202" t="s">
        <v>102</v>
      </c>
      <c r="AU4" s="202"/>
      <c r="AV4" s="202"/>
      <c r="AW4" s="202"/>
      <c r="AX4" s="202" t="s">
        <v>103</v>
      </c>
      <c r="AY4" s="202"/>
      <c r="AZ4" s="202"/>
      <c r="BA4" s="202"/>
      <c r="BB4" s="202" t="s">
        <v>104</v>
      </c>
      <c r="BC4" s="202"/>
      <c r="BD4" s="202"/>
      <c r="BE4" s="202"/>
    </row>
    <row r="5" spans="1:57" s="204" customFormat="1" ht="72.75" customHeight="1" x14ac:dyDescent="0.25">
      <c r="A5" s="203"/>
      <c r="B5" s="172" t="s">
        <v>105</v>
      </c>
      <c r="C5" s="171" t="s">
        <v>106</v>
      </c>
      <c r="D5" s="171" t="s">
        <v>123</v>
      </c>
      <c r="E5" s="172" t="s">
        <v>107</v>
      </c>
      <c r="F5" s="172" t="s">
        <v>105</v>
      </c>
      <c r="G5" s="171" t="s">
        <v>106</v>
      </c>
      <c r="H5" s="171" t="s">
        <v>123</v>
      </c>
      <c r="I5" s="172" t="s">
        <v>107</v>
      </c>
      <c r="J5" s="172" t="s">
        <v>105</v>
      </c>
      <c r="K5" s="171" t="s">
        <v>106</v>
      </c>
      <c r="L5" s="171" t="s">
        <v>123</v>
      </c>
      <c r="M5" s="172" t="s">
        <v>107</v>
      </c>
      <c r="N5" s="172" t="s">
        <v>105</v>
      </c>
      <c r="O5" s="171" t="s">
        <v>106</v>
      </c>
      <c r="P5" s="171" t="s">
        <v>123</v>
      </c>
      <c r="Q5" s="172" t="s">
        <v>107</v>
      </c>
      <c r="R5" s="172" t="s">
        <v>105</v>
      </c>
      <c r="S5" s="171" t="s">
        <v>106</v>
      </c>
      <c r="T5" s="171" t="s">
        <v>123</v>
      </c>
      <c r="U5" s="172" t="s">
        <v>107</v>
      </c>
      <c r="V5" s="172" t="s">
        <v>105</v>
      </c>
      <c r="W5" s="171" t="s">
        <v>106</v>
      </c>
      <c r="X5" s="171" t="s">
        <v>123</v>
      </c>
      <c r="Y5" s="172" t="s">
        <v>107</v>
      </c>
      <c r="Z5" s="172" t="s">
        <v>105</v>
      </c>
      <c r="AA5" s="171" t="s">
        <v>106</v>
      </c>
      <c r="AB5" s="171" t="s">
        <v>123</v>
      </c>
      <c r="AC5" s="172" t="s">
        <v>107</v>
      </c>
      <c r="AD5" s="172" t="s">
        <v>105</v>
      </c>
      <c r="AE5" s="171" t="s">
        <v>106</v>
      </c>
      <c r="AF5" s="171" t="s">
        <v>123</v>
      </c>
      <c r="AG5" s="172" t="s">
        <v>107</v>
      </c>
      <c r="AH5" s="172" t="s">
        <v>105</v>
      </c>
      <c r="AI5" s="171" t="s">
        <v>106</v>
      </c>
      <c r="AJ5" s="171" t="s">
        <v>123</v>
      </c>
      <c r="AK5" s="172" t="s">
        <v>107</v>
      </c>
      <c r="AL5" s="172" t="s">
        <v>105</v>
      </c>
      <c r="AM5" s="171" t="s">
        <v>106</v>
      </c>
      <c r="AN5" s="171" t="s">
        <v>123</v>
      </c>
      <c r="AO5" s="172" t="s">
        <v>107</v>
      </c>
      <c r="AP5" s="172" t="s">
        <v>105</v>
      </c>
      <c r="AQ5" s="171" t="s">
        <v>106</v>
      </c>
      <c r="AR5" s="171" t="s">
        <v>123</v>
      </c>
      <c r="AS5" s="172" t="s">
        <v>107</v>
      </c>
      <c r="AT5" s="172" t="s">
        <v>105</v>
      </c>
      <c r="AU5" s="171" t="s">
        <v>106</v>
      </c>
      <c r="AV5" s="171" t="s">
        <v>123</v>
      </c>
      <c r="AW5" s="172" t="s">
        <v>107</v>
      </c>
      <c r="AX5" s="172" t="s">
        <v>105</v>
      </c>
      <c r="AY5" s="171" t="s">
        <v>106</v>
      </c>
      <c r="AZ5" s="171" t="s">
        <v>123</v>
      </c>
      <c r="BA5" s="172" t="s">
        <v>107</v>
      </c>
      <c r="BB5" s="172" t="s">
        <v>105</v>
      </c>
      <c r="BC5" s="171" t="s">
        <v>106</v>
      </c>
      <c r="BD5" s="171" t="s">
        <v>123</v>
      </c>
      <c r="BE5" s="172" t="s">
        <v>107</v>
      </c>
    </row>
    <row r="6" spans="1:57" s="92" customFormat="1" ht="14.25" x14ac:dyDescent="0.2">
      <c r="A6" s="121" t="s">
        <v>56</v>
      </c>
      <c r="B6" s="113">
        <f>+B7+B40</f>
        <v>20667712.600000001</v>
      </c>
      <c r="C6" s="113">
        <f>+C7+C40</f>
        <v>1218705.1810779297</v>
      </c>
      <c r="D6" s="113">
        <f>+D7+D40</f>
        <v>11383960.005538251</v>
      </c>
      <c r="E6" s="112">
        <f t="shared" ref="E6:E29" si="0">D6/B6%</f>
        <v>55.080889820087059</v>
      </c>
      <c r="F6" s="113">
        <f>+B6-J6</f>
        <v>11595893.600000001</v>
      </c>
      <c r="G6" s="113">
        <f>+C6-K6</f>
        <v>395827.51007792947</v>
      </c>
      <c r="H6" s="113">
        <f>+D6-L6</f>
        <v>5705365.9655382521</v>
      </c>
      <c r="I6" s="112">
        <f>H6/F6%</f>
        <v>49.201606726869684</v>
      </c>
      <c r="J6" s="113">
        <f>+N6+R6+V6+Z6+AD6+AH6+AL6+AP6+AT6+AX6+BB6</f>
        <v>9071819</v>
      </c>
      <c r="K6" s="113">
        <f>+O6+S6+W6+AA6+AE6+AI6+AM6+AQ6+AU6+AY6+BC6</f>
        <v>822877.67100000021</v>
      </c>
      <c r="L6" s="113">
        <f>+P6+T6+X6+AB6+AF6+AJ6+AN6+AR6+AV6+AZ6+BD6</f>
        <v>5678594.0399999991</v>
      </c>
      <c r="M6" s="112">
        <f>L6/J6%</f>
        <v>62.595980365128526</v>
      </c>
      <c r="N6" s="113">
        <f>+N7+N40</f>
        <v>1139921</v>
      </c>
      <c r="O6" s="113">
        <f>+O7+O40</f>
        <v>90433.168000000005</v>
      </c>
      <c r="P6" s="113">
        <f>+P7+P40</f>
        <v>598240.44999999995</v>
      </c>
      <c r="Q6" s="112">
        <f>P6/N6%</f>
        <v>52.48086928831033</v>
      </c>
      <c r="R6" s="113">
        <f>+R7+R40</f>
        <v>585387</v>
      </c>
      <c r="S6" s="113">
        <f>+S7+S40</f>
        <v>38230.138999999996</v>
      </c>
      <c r="T6" s="113">
        <f>+T7+T40</f>
        <v>262948.10800000001</v>
      </c>
      <c r="U6" s="112">
        <f>T6/R6%</f>
        <v>44.918679096050994</v>
      </c>
      <c r="V6" s="113">
        <f>+V7+V40</f>
        <v>726614</v>
      </c>
      <c r="W6" s="113">
        <f>+W7+W40</f>
        <v>60181.902999999998</v>
      </c>
      <c r="X6" s="113">
        <f>+X7+X40</f>
        <v>461458.75699999998</v>
      </c>
      <c r="Y6" s="112">
        <f>X6/V6%</f>
        <v>63.508101550479338</v>
      </c>
      <c r="Z6" s="113">
        <f>+Z7+Z40</f>
        <v>1123841</v>
      </c>
      <c r="AA6" s="113">
        <f>+AA7+AA40</f>
        <v>107541.114</v>
      </c>
      <c r="AB6" s="113">
        <f>+AB7+AB40</f>
        <v>729457.03200000001</v>
      </c>
      <c r="AC6" s="112">
        <f>AB6/Z6%</f>
        <v>64.907494209590155</v>
      </c>
      <c r="AD6" s="113">
        <f>+AD7+AD40</f>
        <v>857187</v>
      </c>
      <c r="AE6" s="113">
        <f>+AE7+AE40</f>
        <v>79039.462000000014</v>
      </c>
      <c r="AF6" s="113">
        <f>+AF7+AF40</f>
        <v>545542.94200000004</v>
      </c>
      <c r="AG6" s="112">
        <f>AF6/AD6%</f>
        <v>63.643398931621689</v>
      </c>
      <c r="AH6" s="113">
        <f>+AH7+AH40</f>
        <v>816872</v>
      </c>
      <c r="AI6" s="113">
        <f>+AI7+AI40</f>
        <v>87224.391999999993</v>
      </c>
      <c r="AJ6" s="113">
        <f>+AJ7+AJ40</f>
        <v>524162.90600000002</v>
      </c>
      <c r="AK6" s="112">
        <f>AJ6/AH6%</f>
        <v>64.167079542449741</v>
      </c>
      <c r="AL6" s="113">
        <f>+AL7+AL40</f>
        <v>747969</v>
      </c>
      <c r="AM6" s="113">
        <f>+AM7+AM40</f>
        <v>71863.027000000002</v>
      </c>
      <c r="AN6" s="113">
        <f>+AN7+AN40</f>
        <v>499103.93100000004</v>
      </c>
      <c r="AO6" s="112">
        <f>AN6/AL6%</f>
        <v>66.727889925919399</v>
      </c>
      <c r="AP6" s="113">
        <f>+AP7+AP40</f>
        <v>824604</v>
      </c>
      <c r="AQ6" s="113">
        <f>+AQ7+AQ40</f>
        <v>69584.073999999993</v>
      </c>
      <c r="AR6" s="113">
        <f>+AR7+AR40</f>
        <v>535797.38300000003</v>
      </c>
      <c r="AS6" s="112">
        <f>AR6/AP6%</f>
        <v>64.976325969798836</v>
      </c>
      <c r="AT6" s="113">
        <f>+AT7+AT40</f>
        <v>779542</v>
      </c>
      <c r="AU6" s="113">
        <f>+AU7+AU40</f>
        <v>83836.799999999988</v>
      </c>
      <c r="AV6" s="113">
        <f>+AV7+AV40</f>
        <v>571190.95299999998</v>
      </c>
      <c r="AW6" s="112">
        <f>AV6/AT6%</f>
        <v>73.272633546364403</v>
      </c>
      <c r="AX6" s="113">
        <f>+AX7+AX40</f>
        <v>719252</v>
      </c>
      <c r="AY6" s="113">
        <f>+AY7+AY40</f>
        <v>71612.427000000011</v>
      </c>
      <c r="AZ6" s="113">
        <f>+AZ7+AZ40</f>
        <v>491518.86800000007</v>
      </c>
      <c r="BA6" s="112">
        <f>AZ6/AX6%</f>
        <v>68.337504518583202</v>
      </c>
      <c r="BB6" s="113">
        <f>+BB7+BB40</f>
        <v>750630</v>
      </c>
      <c r="BC6" s="113">
        <f>+BC7+BC40</f>
        <v>63331.165000000001</v>
      </c>
      <c r="BD6" s="113">
        <f>+BD7+BD40</f>
        <v>459172.70999999996</v>
      </c>
      <c r="BE6" s="112">
        <f>BD6/BB6%</f>
        <v>61.171643819191871</v>
      </c>
    </row>
    <row r="7" spans="1:57" s="92" customFormat="1" ht="14.25" x14ac:dyDescent="0.2">
      <c r="A7" s="122" t="s">
        <v>38</v>
      </c>
      <c r="B7" s="123">
        <f>+B8+B13+B36+B37+B38+B39</f>
        <v>16658718.6</v>
      </c>
      <c r="C7" s="123">
        <f t="shared" ref="C7:D7" si="1">+C8+C13+C36+C37+C38+C39</f>
        <v>1075685.074</v>
      </c>
      <c r="D7" s="123">
        <f t="shared" si="1"/>
        <v>8635241.8960000016</v>
      </c>
      <c r="E7" s="91">
        <f t="shared" si="0"/>
        <v>51.836171216674508</v>
      </c>
      <c r="F7" s="123">
        <f t="shared" ref="F7:F47" si="2">+B7-J7</f>
        <v>7588003.5999999996</v>
      </c>
      <c r="G7" s="123">
        <f t="shared" ref="G7:G47" si="3">+C7-K7</f>
        <v>290233.18200000003</v>
      </c>
      <c r="H7" s="123">
        <f t="shared" ref="H7:H47" si="4">+D7-L7</f>
        <v>3215009.6920000017</v>
      </c>
      <c r="I7" s="91">
        <f t="shared" ref="I7:I47" si="5">H7/F7%</f>
        <v>42.369638464589052</v>
      </c>
      <c r="J7" s="123">
        <f>+N7+R7+V7+Z7+AD7+AH7+AL7+AP7+AT7+AX7+BB7</f>
        <v>9070715</v>
      </c>
      <c r="K7" s="123">
        <f>+O7+S7+W7+AA7+AE7+AI7+AM7+AQ7+AU7+AY7+BC7</f>
        <v>785451.89199999999</v>
      </c>
      <c r="L7" s="123">
        <f>+P7+T7+X7+AB7+AF7+AJ7+AN7+AR7+AV7+AZ7+BD7</f>
        <v>5420232.2039999999</v>
      </c>
      <c r="M7" s="91">
        <f t="shared" ref="M7:M43" si="6">L7/J7%</f>
        <v>59.755291661131459</v>
      </c>
      <c r="N7" s="123">
        <f>+N8+N13+N36+N37+N38+N39</f>
        <v>1139801</v>
      </c>
      <c r="O7" s="123">
        <f>+O8+O13+O37+O38</f>
        <v>89183.909</v>
      </c>
      <c r="P7" s="123">
        <f t="shared" ref="P7" si="7">+P8+P13+P36+P37+P38+P39</f>
        <v>594680.89399999997</v>
      </c>
      <c r="Q7" s="91">
        <f>P7/N7%</f>
        <v>52.174098285577919</v>
      </c>
      <c r="R7" s="123">
        <f>+R8+R13+R36+R37+R38+R39</f>
        <v>585267</v>
      </c>
      <c r="S7" s="123">
        <f>+S8+S13+S37+S38</f>
        <v>38220.138999999996</v>
      </c>
      <c r="T7" s="123">
        <f t="shared" ref="T7" si="8">+T8+T13+T36+T37+T38+T39</f>
        <v>262201.23100000003</v>
      </c>
      <c r="U7" s="91">
        <f>T7/R7%</f>
        <v>44.800275942433117</v>
      </c>
      <c r="V7" s="123">
        <f>+V8+V13+V36+V37+V38+V39</f>
        <v>726509</v>
      </c>
      <c r="W7" s="123">
        <f>+W8+W13+W37+W38</f>
        <v>58101.528999999995</v>
      </c>
      <c r="X7" s="123">
        <f t="shared" ref="X7" si="9">+X8+X13+X36+X37+X38+X39</f>
        <v>445078.55799999996</v>
      </c>
      <c r="Y7" s="91">
        <f>X7/V7%</f>
        <v>61.26263514973661</v>
      </c>
      <c r="Z7" s="123">
        <f>+Z8+Z13+Z36+Z37+Z38+Z39</f>
        <v>1123721</v>
      </c>
      <c r="AA7" s="123">
        <f>+AA8+AA13+AA37+AA38</f>
        <v>101001.91900000001</v>
      </c>
      <c r="AB7" s="123">
        <f t="shared" ref="AB7" si="10">+AB8+AB13+AB36+AB37+AB38+AB39</f>
        <v>693118.22499999998</v>
      </c>
      <c r="AC7" s="91">
        <f>AB7/Z7%</f>
        <v>61.680632915109712</v>
      </c>
      <c r="AD7" s="123">
        <f>+AD8+AD13+AD36+AD37+AD38+AD39</f>
        <v>857105</v>
      </c>
      <c r="AE7" s="123">
        <f>+AE8+AE13+AE37+AE38</f>
        <v>76969.935000000012</v>
      </c>
      <c r="AF7" s="123">
        <f t="shared" ref="AF7" si="11">+AF8+AF13+AF36+AF37+AF38+AF39</f>
        <v>525084.41</v>
      </c>
      <c r="AG7" s="91">
        <f>AF7/AD7%</f>
        <v>61.262553596117172</v>
      </c>
      <c r="AH7" s="123">
        <f>+AH8+AH13+AH36+AH37+AH38+AH39</f>
        <v>816752</v>
      </c>
      <c r="AI7" s="123">
        <f>+AI8+AI13+AI37+AI38</f>
        <v>85578.792999999991</v>
      </c>
      <c r="AJ7" s="123">
        <f t="shared" ref="AJ7" si="12">+AJ8+AJ13+AJ36+AJ37+AJ38+AJ39</f>
        <v>507931.212</v>
      </c>
      <c r="AK7" s="91">
        <f>AJ7/AH7%</f>
        <v>62.189160479558048</v>
      </c>
      <c r="AL7" s="123">
        <f>+AL8+AL13+AL36+AL37+AL38+AL39</f>
        <v>747849</v>
      </c>
      <c r="AM7" s="123">
        <f>+AM8+AM13+AM37+AM38</f>
        <v>66850.145000000004</v>
      </c>
      <c r="AN7" s="123">
        <f t="shared" ref="AN7" si="13">+AN8+AN13+AN36+AN37+AN38+AN39</f>
        <v>471926.7</v>
      </c>
      <c r="AO7" s="91">
        <f>AN7/AL7%</f>
        <v>63.104543831709343</v>
      </c>
      <c r="AP7" s="123">
        <f>+AP8+AP13+AP36+AP37+AP38+AP39</f>
        <v>824522</v>
      </c>
      <c r="AQ7" s="123">
        <f>+AQ8+AQ13+AQ37+AQ38</f>
        <v>68993.324999999997</v>
      </c>
      <c r="AR7" s="123">
        <f t="shared" ref="AR7" si="14">+AR8+AR13+AR36+AR37+AR38+AR39</f>
        <v>520904.06900000002</v>
      </c>
      <c r="AS7" s="91">
        <f>AR7/AP7%</f>
        <v>63.176491227644632</v>
      </c>
      <c r="AT7" s="123">
        <f>+AT8+AT13+AT36+AT37+AT38+AT39</f>
        <v>779472</v>
      </c>
      <c r="AU7" s="123">
        <f>+AU8+AU13+AU37+AU38</f>
        <v>69841.921999999991</v>
      </c>
      <c r="AV7" s="123">
        <f t="shared" ref="AV7" si="15">+AV8+AV13+AV36+AV37+AV38+AV39</f>
        <v>486509.89899999998</v>
      </c>
      <c r="AW7" s="91">
        <f>AV7/AT7%</f>
        <v>62.415314340989795</v>
      </c>
      <c r="AX7" s="123">
        <f>+AX8+AX13+AX36+AX37+AX38+AX39</f>
        <v>719192</v>
      </c>
      <c r="AY7" s="123">
        <f>+AY8+AY13+AY37+AY38</f>
        <v>67940.293000000005</v>
      </c>
      <c r="AZ7" s="123">
        <f t="shared" ref="AZ7" si="16">+AZ8+AZ13+AZ36+AZ37+AZ38+AZ39</f>
        <v>476183.15800000005</v>
      </c>
      <c r="BA7" s="91">
        <f>AZ7/AX7%</f>
        <v>66.21085301282551</v>
      </c>
      <c r="BB7" s="123">
        <f>+BB8+BB13+BB36+BB37+BB38+BB39</f>
        <v>750525</v>
      </c>
      <c r="BC7" s="123">
        <f>+BC8+BC13+BC37+BC38</f>
        <v>62769.983</v>
      </c>
      <c r="BD7" s="123">
        <f t="shared" ref="BD7" si="17">+BD8+BD13+BD36+BD37+BD38+BD39</f>
        <v>436613.84799999994</v>
      </c>
      <c r="BE7" s="91">
        <f t="shared" ref="BE7:BE44" si="18">BD7/BB7%</f>
        <v>58.174457613004222</v>
      </c>
    </row>
    <row r="8" spans="1:57" s="92" customFormat="1" ht="14.25" x14ac:dyDescent="0.2">
      <c r="A8" s="205" t="s">
        <v>15</v>
      </c>
      <c r="B8" s="53">
        <f>+B9+B10+B11+B12</f>
        <v>3988941</v>
      </c>
      <c r="C8" s="53">
        <v>111505.19999999995</v>
      </c>
      <c r="D8" s="53">
        <v>1492901</v>
      </c>
      <c r="E8" s="91">
        <f t="shared" si="0"/>
        <v>37.425998529434253</v>
      </c>
      <c r="F8" s="53">
        <f t="shared" si="2"/>
        <v>3206201</v>
      </c>
      <c r="G8" s="53">
        <f t="shared" si="3"/>
        <v>71755.243999999962</v>
      </c>
      <c r="H8" s="53">
        <f t="shared" si="4"/>
        <v>1170198.338</v>
      </c>
      <c r="I8" s="91">
        <f t="shared" si="5"/>
        <v>36.497971836450681</v>
      </c>
      <c r="J8" s="53">
        <f>+N8+R8+V8+Z8+AD8+AH8+AL8+AP8+AT8+AX8+BB8</f>
        <v>782740</v>
      </c>
      <c r="K8" s="53">
        <f>+O8+S8+W8+AA8+AE8+AI8+AM8+AQ8+AU8+AY8+BC8</f>
        <v>39749.955999999991</v>
      </c>
      <c r="L8" s="53">
        <f>+P8+T8+X8+AB8+AF8+AJ8+AN8+AR8+AV8+AZ8+BD8</f>
        <v>322702.66199999995</v>
      </c>
      <c r="M8" s="91">
        <f t="shared" si="6"/>
        <v>41.227312006541119</v>
      </c>
      <c r="N8" s="53">
        <f>+N9+N10+N11+N12</f>
        <v>237509</v>
      </c>
      <c r="O8" s="206">
        <f>13243.677-O41-O46</f>
        <v>13146.668</v>
      </c>
      <c r="P8" s="53">
        <f>74625.243+O8</f>
        <v>87771.911000000007</v>
      </c>
      <c r="Q8" s="91">
        <f>P8/N8%</f>
        <v>36.955193697923029</v>
      </c>
      <c r="R8" s="53">
        <f>+R9+R10+R11+R12</f>
        <v>65214</v>
      </c>
      <c r="S8" s="53">
        <v>2963.4920000000002</v>
      </c>
      <c r="T8" s="53">
        <f>12590.559+S8</f>
        <v>15554.050999999999</v>
      </c>
      <c r="U8" s="91">
        <f>T8/R8%</f>
        <v>23.850785107492257</v>
      </c>
      <c r="V8" s="53">
        <f>+V9+V10+V11+V12</f>
        <v>67482</v>
      </c>
      <c r="W8" s="53">
        <f>2305.404-W41-W46</f>
        <v>2108.2869999999998</v>
      </c>
      <c r="X8" s="53">
        <f>22633.474+W8-520.838</f>
        <v>24220.922999999999</v>
      </c>
      <c r="Y8" s="91">
        <f>X8/V8%</f>
        <v>35.892420200942468</v>
      </c>
      <c r="Z8" s="53">
        <f>+Z9+Z10+Z11+Z12</f>
        <v>62424</v>
      </c>
      <c r="AA8" s="53">
        <f>8173.901-5000</f>
        <v>3173.9009999999998</v>
      </c>
      <c r="AB8" s="53">
        <f>25214.981+AA8</f>
        <v>28388.881999999998</v>
      </c>
      <c r="AC8" s="91">
        <f>AB8/Z8%</f>
        <v>45.477511854414963</v>
      </c>
      <c r="AD8" s="53">
        <f>+AD9+AD10+AD11+AD12</f>
        <v>64729</v>
      </c>
      <c r="AE8" s="53">
        <f>4548.519-2000</f>
        <v>2548.5190000000002</v>
      </c>
      <c r="AF8" s="53">
        <f>24064.379+AE8</f>
        <v>26612.898000000001</v>
      </c>
      <c r="AG8" s="91">
        <f>AF8/AD8%</f>
        <v>41.114335151168724</v>
      </c>
      <c r="AH8" s="53">
        <f>+AH9+AH10+AH11+AH12</f>
        <v>43703</v>
      </c>
      <c r="AI8" s="53">
        <v>2264.7060000000001</v>
      </c>
      <c r="AJ8" s="53">
        <f>20639.217+AI8</f>
        <v>22903.923000000003</v>
      </c>
      <c r="AK8" s="91">
        <f>AJ8/AH8%</f>
        <v>52.408125300322638</v>
      </c>
      <c r="AL8" s="53">
        <f>+AL9+AL10+AL11+AL12</f>
        <v>39926</v>
      </c>
      <c r="AM8" s="53">
        <f>4034.341-2000</f>
        <v>2034.3409999999999</v>
      </c>
      <c r="AN8" s="53">
        <f>16427.097+AM8</f>
        <v>18461.438000000002</v>
      </c>
      <c r="AO8" s="91">
        <f>AN8/AL8%</f>
        <v>46.23913740419777</v>
      </c>
      <c r="AP8" s="53">
        <f>+AP9+AP10+AP11+AP12</f>
        <v>56730</v>
      </c>
      <c r="AQ8" s="53">
        <v>2689.181</v>
      </c>
      <c r="AR8" s="53">
        <f>27066.976+AQ8</f>
        <v>29756.156999999999</v>
      </c>
      <c r="AS8" s="91">
        <f>AR8/AP8%</f>
        <v>52.452242199894236</v>
      </c>
      <c r="AT8" s="53">
        <f>+AT9+AT10+AT11+AT12</f>
        <v>52820</v>
      </c>
      <c r="AU8" s="53">
        <f>8893.427-5000</f>
        <v>3893.4269999999997</v>
      </c>
      <c r="AV8" s="53">
        <f>31252.02+AU8</f>
        <v>35145.447</v>
      </c>
      <c r="AW8" s="91">
        <f>AV8/AT8%</f>
        <v>66.53814274895872</v>
      </c>
      <c r="AX8" s="53">
        <f>+AX9+AX10+AX11+AX12</f>
        <v>47391</v>
      </c>
      <c r="AY8" s="53">
        <f>6256.592-3000</f>
        <v>3256.5919999999996</v>
      </c>
      <c r="AZ8" s="53">
        <f>11561.927+AY8</f>
        <v>14818.519</v>
      </c>
      <c r="BA8" s="91">
        <f>AZ8/AX8%</f>
        <v>31.268635394906205</v>
      </c>
      <c r="BB8" s="53">
        <f>+BB9+BB10+BB11+BB12</f>
        <v>44812</v>
      </c>
      <c r="BC8" s="53">
        <f>3170.842-1500</f>
        <v>1670.8420000000001</v>
      </c>
      <c r="BD8" s="53">
        <f>17397.671+BC8</f>
        <v>19068.512999999999</v>
      </c>
      <c r="BE8" s="91">
        <f t="shared" si="18"/>
        <v>42.552247165937693</v>
      </c>
    </row>
    <row r="9" spans="1:57" hidden="1" x14ac:dyDescent="0.25">
      <c r="A9" s="124" t="s">
        <v>39</v>
      </c>
      <c r="B9" s="56">
        <v>1381674</v>
      </c>
      <c r="C9" s="56"/>
      <c r="D9" s="56"/>
      <c r="E9" s="114">
        <f t="shared" si="0"/>
        <v>0</v>
      </c>
      <c r="F9" s="56">
        <f t="shared" si="2"/>
        <v>958934</v>
      </c>
      <c r="G9" s="56">
        <f t="shared" si="3"/>
        <v>0</v>
      </c>
      <c r="H9" s="56">
        <f t="shared" si="4"/>
        <v>0</v>
      </c>
      <c r="I9" s="114">
        <f t="shared" si="5"/>
        <v>0</v>
      </c>
      <c r="J9" s="56">
        <f>+N9+R9+V9+Z9+AD9+AH9+AL9+AP9+AT9+AX9+BB9</f>
        <v>422740</v>
      </c>
      <c r="K9" s="56">
        <f>+O9+S9+W9+AA9+AE9+AI9+AM9+AQ9+AU9+AY9+BC9</f>
        <v>0</v>
      </c>
      <c r="L9" s="56">
        <f>+P9+T9+X9+AB9+AF9+AJ9+AN9+AR9+AV9+AZ9+BD9</f>
        <v>0</v>
      </c>
      <c r="M9" s="114"/>
      <c r="N9" s="56">
        <v>87509</v>
      </c>
      <c r="O9" s="56"/>
      <c r="P9" s="56"/>
      <c r="Q9" s="114"/>
      <c r="R9" s="56">
        <v>35214</v>
      </c>
      <c r="S9" s="56"/>
      <c r="T9" s="56"/>
      <c r="U9" s="114"/>
      <c r="V9" s="56">
        <v>32482</v>
      </c>
      <c r="W9" s="56"/>
      <c r="X9" s="56"/>
      <c r="Y9" s="114"/>
      <c r="Z9" s="56">
        <v>32424</v>
      </c>
      <c r="AA9" s="56"/>
      <c r="AB9" s="56"/>
      <c r="AC9" s="114"/>
      <c r="AD9" s="56">
        <v>34729</v>
      </c>
      <c r="AE9" s="56"/>
      <c r="AF9" s="56"/>
      <c r="AG9" s="114"/>
      <c r="AH9" s="56">
        <v>33703</v>
      </c>
      <c r="AI9" s="56"/>
      <c r="AJ9" s="56"/>
      <c r="AK9" s="114"/>
      <c r="AL9" s="56">
        <v>29926</v>
      </c>
      <c r="AM9" s="56"/>
      <c r="AN9" s="56"/>
      <c r="AO9" s="114"/>
      <c r="AP9" s="56">
        <v>36730</v>
      </c>
      <c r="AQ9" s="56"/>
      <c r="AR9" s="56"/>
      <c r="AS9" s="114"/>
      <c r="AT9" s="56">
        <v>37820</v>
      </c>
      <c r="AU9" s="56"/>
      <c r="AV9" s="56"/>
      <c r="AW9" s="114"/>
      <c r="AX9" s="56">
        <v>32391</v>
      </c>
      <c r="AY9" s="56"/>
      <c r="AZ9" s="56"/>
      <c r="BA9" s="114"/>
      <c r="BB9" s="56">
        <v>29812</v>
      </c>
      <c r="BC9" s="56"/>
      <c r="BD9" s="56"/>
      <c r="BE9" s="114"/>
    </row>
    <row r="10" spans="1:57" hidden="1" x14ac:dyDescent="0.25">
      <c r="A10" s="124" t="s">
        <v>40</v>
      </c>
      <c r="B10" s="56">
        <v>620000</v>
      </c>
      <c r="C10" s="56"/>
      <c r="D10" s="56"/>
      <c r="E10" s="114">
        <f t="shared" si="0"/>
        <v>0</v>
      </c>
      <c r="F10" s="56">
        <f t="shared" si="2"/>
        <v>260000</v>
      </c>
      <c r="G10" s="56">
        <f t="shared" si="3"/>
        <v>0</v>
      </c>
      <c r="H10" s="56">
        <f t="shared" si="4"/>
        <v>0</v>
      </c>
      <c r="I10" s="114">
        <f t="shared" si="5"/>
        <v>0</v>
      </c>
      <c r="J10" s="56">
        <f>+N10+R10+V10+Z10+AD10+AH10+AL10+AP10+AT10+AX10+BB10</f>
        <v>360000</v>
      </c>
      <c r="K10" s="56">
        <f>+O10+S10+W10+AA10+AE10+AI10+AM10+AQ10+AU10+AY10+BC10</f>
        <v>0</v>
      </c>
      <c r="L10" s="56">
        <f>+P10+T10+X10+AB10+AF10+AJ10+AN10+AR10+AV10+AZ10+BD10</f>
        <v>0</v>
      </c>
      <c r="M10" s="114"/>
      <c r="N10" s="56">
        <v>150000</v>
      </c>
      <c r="O10" s="56"/>
      <c r="P10" s="56"/>
      <c r="Q10" s="114"/>
      <c r="R10" s="56">
        <v>30000</v>
      </c>
      <c r="S10" s="56"/>
      <c r="T10" s="56"/>
      <c r="U10" s="114"/>
      <c r="V10" s="56">
        <v>35000</v>
      </c>
      <c r="W10" s="56"/>
      <c r="X10" s="56"/>
      <c r="Y10" s="114"/>
      <c r="Z10" s="56">
        <v>30000</v>
      </c>
      <c r="AA10" s="56"/>
      <c r="AB10" s="56"/>
      <c r="AC10" s="114"/>
      <c r="AD10" s="56">
        <v>30000</v>
      </c>
      <c r="AE10" s="56"/>
      <c r="AF10" s="56"/>
      <c r="AG10" s="114"/>
      <c r="AH10" s="56">
        <v>10000</v>
      </c>
      <c r="AI10" s="56"/>
      <c r="AJ10" s="56"/>
      <c r="AK10" s="114"/>
      <c r="AL10" s="56">
        <v>10000</v>
      </c>
      <c r="AM10" s="56"/>
      <c r="AN10" s="56"/>
      <c r="AO10" s="114"/>
      <c r="AP10" s="56">
        <v>20000</v>
      </c>
      <c r="AQ10" s="56"/>
      <c r="AR10" s="56"/>
      <c r="AS10" s="114"/>
      <c r="AT10" s="56">
        <v>15000</v>
      </c>
      <c r="AU10" s="56"/>
      <c r="AV10" s="56"/>
      <c r="AW10" s="114"/>
      <c r="AX10" s="56">
        <v>15000</v>
      </c>
      <c r="AY10" s="56"/>
      <c r="AZ10" s="56"/>
      <c r="BA10" s="114"/>
      <c r="BB10" s="56">
        <v>15000</v>
      </c>
      <c r="BC10" s="56"/>
      <c r="BD10" s="56"/>
      <c r="BE10" s="114"/>
    </row>
    <row r="11" spans="1:57" hidden="1" x14ac:dyDescent="0.25">
      <c r="A11" s="124" t="s">
        <v>41</v>
      </c>
      <c r="B11" s="56">
        <v>1890000</v>
      </c>
      <c r="C11" s="56"/>
      <c r="D11" s="56"/>
      <c r="E11" s="114">
        <f t="shared" si="0"/>
        <v>0</v>
      </c>
      <c r="F11" s="56">
        <f t="shared" si="2"/>
        <v>1890000</v>
      </c>
      <c r="G11" s="56">
        <f t="shared" si="3"/>
        <v>0</v>
      </c>
      <c r="H11" s="56">
        <f t="shared" si="4"/>
        <v>0</v>
      </c>
      <c r="I11" s="114">
        <f t="shared" si="5"/>
        <v>0</v>
      </c>
      <c r="J11" s="56">
        <f>+N11+R11+V11+Z11+AD11+AH11+AL11+AP11+AT11+AX11+BB11</f>
        <v>0</v>
      </c>
      <c r="K11" s="56">
        <f>+O11+S11+W11+AA11+AE11+AI11+AM11+AQ11+AU11+AY11+BC11</f>
        <v>0</v>
      </c>
      <c r="L11" s="56">
        <f>+P11+T11+X11+AB11+AF11+AJ11+AN11+AR11+AV11+AZ11+BD11</f>
        <v>0</v>
      </c>
      <c r="M11" s="114"/>
      <c r="N11" s="56">
        <v>0</v>
      </c>
      <c r="O11" s="56"/>
      <c r="P11" s="56"/>
      <c r="Q11" s="114"/>
      <c r="R11" s="56">
        <v>0</v>
      </c>
      <c r="S11" s="56"/>
      <c r="T11" s="56"/>
      <c r="U11" s="114"/>
      <c r="V11" s="56">
        <v>0</v>
      </c>
      <c r="W11" s="56"/>
      <c r="X11" s="56"/>
      <c r="Y11" s="114"/>
      <c r="Z11" s="56">
        <v>0</v>
      </c>
      <c r="AA11" s="56"/>
      <c r="AB11" s="56"/>
      <c r="AC11" s="114"/>
      <c r="AD11" s="56">
        <v>0</v>
      </c>
      <c r="AE11" s="56"/>
      <c r="AF11" s="56"/>
      <c r="AG11" s="114"/>
      <c r="AH11" s="56">
        <v>0</v>
      </c>
      <c r="AI11" s="56"/>
      <c r="AJ11" s="56"/>
      <c r="AK11" s="114"/>
      <c r="AL11" s="56">
        <v>0</v>
      </c>
      <c r="AM11" s="56"/>
      <c r="AN11" s="56"/>
      <c r="AO11" s="114"/>
      <c r="AP11" s="56">
        <v>0</v>
      </c>
      <c r="AQ11" s="56"/>
      <c r="AR11" s="56"/>
      <c r="AS11" s="114"/>
      <c r="AT11" s="56">
        <v>0</v>
      </c>
      <c r="AU11" s="56"/>
      <c r="AV11" s="56"/>
      <c r="AW11" s="114"/>
      <c r="AX11" s="56">
        <v>0</v>
      </c>
      <c r="AY11" s="56"/>
      <c r="AZ11" s="56"/>
      <c r="BA11" s="114"/>
      <c r="BB11" s="56">
        <v>0</v>
      </c>
      <c r="BC11" s="56"/>
      <c r="BD11" s="56"/>
      <c r="BE11" s="114"/>
    </row>
    <row r="12" spans="1:57" s="92" customFormat="1" hidden="1" x14ac:dyDescent="0.25">
      <c r="A12" s="124" t="s">
        <v>42</v>
      </c>
      <c r="B12" s="56">
        <v>97267</v>
      </c>
      <c r="C12" s="56"/>
      <c r="D12" s="56"/>
      <c r="E12" s="91">
        <f t="shared" si="0"/>
        <v>0</v>
      </c>
      <c r="F12" s="56">
        <f t="shared" si="2"/>
        <v>97267</v>
      </c>
      <c r="G12" s="56">
        <f t="shared" si="3"/>
        <v>0</v>
      </c>
      <c r="H12" s="56">
        <f t="shared" si="4"/>
        <v>0</v>
      </c>
      <c r="I12" s="91">
        <f t="shared" si="5"/>
        <v>0</v>
      </c>
      <c r="J12" s="56">
        <f>+N12+R12+V12+Z12+AD12+AH12+AL12+AP12+AT12+AX12+BB12</f>
        <v>0</v>
      </c>
      <c r="K12" s="56">
        <f>+O12+S12+W12+AA12+AE12+AI12+AM12+AQ12+AU12+AY12+BC12</f>
        <v>0</v>
      </c>
      <c r="L12" s="56">
        <f>+P12+T12+X12+AB12+AF12+AJ12+AN12+AR12+AV12+AZ12+BD12</f>
        <v>0</v>
      </c>
      <c r="M12" s="91" t="e">
        <f t="shared" si="6"/>
        <v>#DIV/0!</v>
      </c>
      <c r="N12" s="56">
        <v>0</v>
      </c>
      <c r="O12" s="56"/>
      <c r="P12" s="56"/>
      <c r="Q12" s="91" t="e">
        <f t="shared" ref="Q12:Q20" si="19">P12/N12%</f>
        <v>#DIV/0!</v>
      </c>
      <c r="R12" s="56">
        <v>0</v>
      </c>
      <c r="S12" s="56"/>
      <c r="T12" s="56"/>
      <c r="U12" s="91" t="e">
        <f t="shared" ref="U12:U20" si="20">T12/R12%</f>
        <v>#DIV/0!</v>
      </c>
      <c r="V12" s="56">
        <v>0</v>
      </c>
      <c r="W12" s="56"/>
      <c r="X12" s="56"/>
      <c r="Y12" s="91" t="e">
        <f t="shared" ref="Y12:Y20" si="21">X12/V12%</f>
        <v>#DIV/0!</v>
      </c>
      <c r="Z12" s="56">
        <v>0</v>
      </c>
      <c r="AA12" s="56"/>
      <c r="AB12" s="56"/>
      <c r="AC12" s="91" t="e">
        <f>AB12/Z12%</f>
        <v>#DIV/0!</v>
      </c>
      <c r="AD12" s="56">
        <v>0</v>
      </c>
      <c r="AE12" s="56"/>
      <c r="AF12" s="56"/>
      <c r="AG12" s="91" t="e">
        <f>AF12/AD12%</f>
        <v>#DIV/0!</v>
      </c>
      <c r="AH12" s="56">
        <v>0</v>
      </c>
      <c r="AI12" s="56"/>
      <c r="AJ12" s="56"/>
      <c r="AK12" s="91" t="e">
        <f>AJ12/AH12%</f>
        <v>#DIV/0!</v>
      </c>
      <c r="AL12" s="56">
        <v>0</v>
      </c>
      <c r="AM12" s="56"/>
      <c r="AN12" s="56"/>
      <c r="AO12" s="91" t="e">
        <f>AN12/AL12%</f>
        <v>#DIV/0!</v>
      </c>
      <c r="AP12" s="56">
        <v>0</v>
      </c>
      <c r="AQ12" s="56"/>
      <c r="AR12" s="56"/>
      <c r="AS12" s="91" t="e">
        <f>AR12/AP12%</f>
        <v>#DIV/0!</v>
      </c>
      <c r="AT12" s="56">
        <v>0</v>
      </c>
      <c r="AU12" s="56"/>
      <c r="AV12" s="56"/>
      <c r="AW12" s="91" t="e">
        <f>AV12/AT12%</f>
        <v>#DIV/0!</v>
      </c>
      <c r="AX12" s="56">
        <v>0</v>
      </c>
      <c r="AY12" s="56"/>
      <c r="AZ12" s="56"/>
      <c r="BA12" s="91" t="e">
        <f>AZ12/AX12%</f>
        <v>#DIV/0!</v>
      </c>
      <c r="BB12" s="56">
        <v>0</v>
      </c>
      <c r="BC12" s="56"/>
      <c r="BD12" s="56"/>
      <c r="BE12" s="91" t="e">
        <f t="shared" si="18"/>
        <v>#DIV/0!</v>
      </c>
    </row>
    <row r="13" spans="1:57" s="92" customFormat="1" ht="14.25" x14ac:dyDescent="0.2">
      <c r="A13" s="125" t="s">
        <v>16</v>
      </c>
      <c r="B13" s="53">
        <f>+B14+B18+B27+B32+B33+B34+B35</f>
        <v>11695985.6</v>
      </c>
      <c r="C13" s="53">
        <f>+C14+C18+C27+C32+C33+C34+C35</f>
        <v>964179.87400000007</v>
      </c>
      <c r="D13" s="53">
        <f>+D14+D18+D27+D32+D33+D34+D35</f>
        <v>7138353.3700000001</v>
      </c>
      <c r="E13" s="91">
        <f t="shared" si="0"/>
        <v>61.032508196658519</v>
      </c>
      <c r="F13" s="53">
        <f t="shared" si="2"/>
        <v>3759852.5999999996</v>
      </c>
      <c r="G13" s="53">
        <f t="shared" si="3"/>
        <v>218477.93800000008</v>
      </c>
      <c r="H13" s="53">
        <f t="shared" si="4"/>
        <v>2040823.8279999997</v>
      </c>
      <c r="I13" s="91">
        <f t="shared" si="5"/>
        <v>54.279357334380606</v>
      </c>
      <c r="J13" s="53">
        <f>+N13+R13+V13+Z13+AD13+AH13+AL13+AP13+AT13+AX13+BB13</f>
        <v>7936133</v>
      </c>
      <c r="K13" s="53">
        <f>+O13+S13+W13+AA13+AE13+AI13+AM13+AQ13+AU13+AY13+BC13</f>
        <v>745701.93599999999</v>
      </c>
      <c r="L13" s="53">
        <f>+P13+T13+X13+AB13+AF13+AJ13+AN13+AR13+AV13+AZ13+BD13</f>
        <v>5097529.5420000004</v>
      </c>
      <c r="M13" s="91">
        <f t="shared" si="6"/>
        <v>64.23190667293504</v>
      </c>
      <c r="N13" s="53">
        <f>+N14+N18+N27+N32+N33+N34+N35</f>
        <v>775898</v>
      </c>
      <c r="O13" s="53">
        <f>+O14+O18+O27+O32+O33+O34+O35</f>
        <v>76037.240999999995</v>
      </c>
      <c r="P13" s="53">
        <f>+P14+P18+P27+P32+P33+P34+P35</f>
        <v>506908.98300000001</v>
      </c>
      <c r="Q13" s="91">
        <f t="shared" si="19"/>
        <v>65.331909993323876</v>
      </c>
      <c r="R13" s="53">
        <f>+R14+R18+R27+R32+R33+R34+R35</f>
        <v>451413</v>
      </c>
      <c r="S13" s="53">
        <f>+S14+S18+S27+S32+S33+S34+S35</f>
        <v>35256.646999999997</v>
      </c>
      <c r="T13" s="53">
        <f>+T14+T18+T27+T32+T33+T34+T35</f>
        <v>246647.18000000002</v>
      </c>
      <c r="U13" s="91">
        <f t="shared" si="20"/>
        <v>54.638918241167183</v>
      </c>
      <c r="V13" s="53">
        <f>+V14+V18+V27+V32+V33+V34+V35</f>
        <v>644520</v>
      </c>
      <c r="W13" s="53">
        <f>+W14+W18+W27+W32+W33+W34+W35</f>
        <v>55993.241999999998</v>
      </c>
      <c r="X13" s="53">
        <f>+X14+X18+X27+X32+X33+X34+X35</f>
        <v>420857.63499999995</v>
      </c>
      <c r="Y13" s="91">
        <f t="shared" si="21"/>
        <v>65.297839477440576</v>
      </c>
      <c r="Z13" s="53">
        <f>+Z14+Z18+Z27+Z32+Z33+Z34+Z35</f>
        <v>1038866</v>
      </c>
      <c r="AA13" s="53">
        <f>+AA14+AA18+AA27+AA32+AA33+AA34+AA35</f>
        <v>97828.018000000011</v>
      </c>
      <c r="AB13" s="53">
        <f>+AB14+AB18+AB27+AB32+AB33+AB34+AB35</f>
        <v>664729.34299999999</v>
      </c>
      <c r="AC13" s="91">
        <f>AB13/Z13%</f>
        <v>63.98605238789218</v>
      </c>
      <c r="AD13" s="53">
        <f>+AD14+AD18+AD27+AD32+AD33+AD34+AD35</f>
        <v>775263</v>
      </c>
      <c r="AE13" s="53">
        <f>+AE14+AE18+AE27+AE32+AE33+AE34+AE35</f>
        <v>74421.416000000012</v>
      </c>
      <c r="AF13" s="53">
        <f>+AF14+AF18+AF27+AF32+AF33+AF34+AF35</f>
        <v>498471.51200000005</v>
      </c>
      <c r="AG13" s="91">
        <f>AF13/AD13%</f>
        <v>64.297085247199988</v>
      </c>
      <c r="AH13" s="53">
        <f>+AH14+AH18+AH27+AH32+AH33+AH34+AH35</f>
        <v>756744</v>
      </c>
      <c r="AI13" s="53">
        <f>+AI14+AI18+AI27+AI32+AI33+AI34+AI35</f>
        <v>83314.086999999985</v>
      </c>
      <c r="AJ13" s="53">
        <f>+AJ14+AJ18+AJ27+AJ32+AJ33+AJ34+AJ35</f>
        <v>485027.28899999999</v>
      </c>
      <c r="AK13" s="91">
        <f>AJ13/AH13%</f>
        <v>64.093972201959971</v>
      </c>
      <c r="AL13" s="53">
        <f>+AL14+AL18+AL27+AL32+AL33+AL34+AL35</f>
        <v>692992</v>
      </c>
      <c r="AM13" s="53">
        <f>+AM14+AM18+AM27+AM32+AM33+AM34+AM35</f>
        <v>64815.804000000004</v>
      </c>
      <c r="AN13" s="53">
        <f>+AN14+AN18+AN27+AN32+AN33+AN34+AN35</f>
        <v>453465.26199999999</v>
      </c>
      <c r="AO13" s="91">
        <f>AN13/AL13%</f>
        <v>65.435858134004434</v>
      </c>
      <c r="AP13" s="53">
        <f>+AP14+AP18+AP27+AP32+AP33+AP34+AP35</f>
        <v>751332</v>
      </c>
      <c r="AQ13" s="53">
        <f>+AQ14+AQ18+AQ27+AQ32+AQ33+AQ34+AQ35</f>
        <v>66304.144</v>
      </c>
      <c r="AR13" s="53">
        <f>+AR14+AR18+AR27+AR32+AR33+AR34+AR35</f>
        <v>491147.91200000001</v>
      </c>
      <c r="AS13" s="91">
        <f>AR13/AP13%</f>
        <v>65.370290630506886</v>
      </c>
      <c r="AT13" s="53">
        <f>+AT14+AT18+AT27+AT32+AT33+AT34+AT35</f>
        <v>711091</v>
      </c>
      <c r="AU13" s="53">
        <f>+AU14+AU18+AU27+AU32+AU33+AU34+AU35</f>
        <v>65948.494999999995</v>
      </c>
      <c r="AV13" s="53">
        <f>+AV14+AV18+AV27+AV32+AV33+AV34+AV35</f>
        <v>451364.45199999999</v>
      </c>
      <c r="AW13" s="91">
        <f>AV13/AT13%</f>
        <v>63.474921212615541</v>
      </c>
      <c r="AX13" s="53">
        <f>+AX14+AX18+AX27+AX32+AX33+AX34+AX35</f>
        <v>657443</v>
      </c>
      <c r="AY13" s="53">
        <f>+AY14+AY18+AY27+AY32+AY33+AY34+AY35</f>
        <v>64683.701000000001</v>
      </c>
      <c r="AZ13" s="53">
        <f>+AZ14+AZ18+AZ27+AZ32+AZ33+AZ34+AZ35</f>
        <v>461364.63900000002</v>
      </c>
      <c r="BA13" s="91">
        <f>AZ13/AX13%</f>
        <v>70.175610509200041</v>
      </c>
      <c r="BB13" s="53">
        <f>+BB14+BB18+BB27+BB32+BB33+BB34+BB35</f>
        <v>680571</v>
      </c>
      <c r="BC13" s="53">
        <f>+BC14+BC18+BC27+BC32+BC33+BC34+BC35</f>
        <v>61099.141000000003</v>
      </c>
      <c r="BD13" s="53">
        <f>+BD14+BD18+BD27+BD32+BD33+BD34+BD35</f>
        <v>417545.33499999996</v>
      </c>
      <c r="BE13" s="91">
        <f t="shared" si="18"/>
        <v>61.35220792540381</v>
      </c>
    </row>
    <row r="14" spans="1:57" x14ac:dyDescent="0.25">
      <c r="A14" s="126" t="s">
        <v>27</v>
      </c>
      <c r="B14" s="53">
        <f>+B15+B16+B17</f>
        <v>1248445</v>
      </c>
      <c r="C14" s="53">
        <f>+C15+C16+C17</f>
        <v>67360.591000000015</v>
      </c>
      <c r="D14" s="53">
        <f>+D15+D16+D17</f>
        <v>428640.48799999995</v>
      </c>
      <c r="E14" s="114">
        <f t="shared" si="0"/>
        <v>34.333950474390136</v>
      </c>
      <c r="F14" s="53">
        <f t="shared" si="2"/>
        <v>591306</v>
      </c>
      <c r="G14" s="53">
        <f t="shared" si="3"/>
        <v>23902.471000000012</v>
      </c>
      <c r="H14" s="53">
        <f t="shared" si="4"/>
        <v>198493.12999999992</v>
      </c>
      <c r="I14" s="114">
        <f t="shared" si="5"/>
        <v>33.568597308331036</v>
      </c>
      <c r="J14" s="53">
        <f>+N14+R14+V14+Z14+AD14+AH14+AL14+AP14+AT14+AX14+BB14</f>
        <v>657139</v>
      </c>
      <c r="K14" s="53">
        <f>+O14+S14+W14+AA14+AE14+AI14+AM14+AQ14+AU14+AY14+BC14</f>
        <v>43458.12</v>
      </c>
      <c r="L14" s="53">
        <f>+P14+T14+X14+AB14+AF14+AJ14+AN14+AR14+AV14+AZ14+BD14</f>
        <v>230147.35800000004</v>
      </c>
      <c r="M14" s="114">
        <f t="shared" si="6"/>
        <v>35.022629611086849</v>
      </c>
      <c r="N14" s="53">
        <f>+N15+N16+N17</f>
        <v>51744</v>
      </c>
      <c r="O14" s="53">
        <f>+O15+O16+O17</f>
        <v>4858.4790000000003</v>
      </c>
      <c r="P14" s="53">
        <f>+P15+P16+P17</f>
        <v>17930.303</v>
      </c>
      <c r="Q14" s="114">
        <f t="shared" si="19"/>
        <v>34.651946119356829</v>
      </c>
      <c r="R14" s="53">
        <f>+R15+R16+R17</f>
        <v>27833</v>
      </c>
      <c r="S14" s="53">
        <f>+S15+S16+S17</f>
        <v>1356.713</v>
      </c>
      <c r="T14" s="53">
        <f>+T15+T16+T17</f>
        <v>3905.123</v>
      </c>
      <c r="U14" s="114">
        <f t="shared" si="20"/>
        <v>14.030550066467862</v>
      </c>
      <c r="V14" s="53">
        <f>+V15+V16+V17</f>
        <v>49731</v>
      </c>
      <c r="W14" s="53">
        <f>+W15+W16+W17</f>
        <v>1875.5619999999999</v>
      </c>
      <c r="X14" s="53">
        <f>+X15+X16+X17</f>
        <v>23634.332000000002</v>
      </c>
      <c r="Y14" s="114">
        <f t="shared" si="21"/>
        <v>47.524344975970727</v>
      </c>
      <c r="Z14" s="53">
        <f>+Z15+Z16+Z17</f>
        <v>77166</v>
      </c>
      <c r="AA14" s="53">
        <f>+AA15+AA16+AA17</f>
        <v>650.13299999999992</v>
      </c>
      <c r="AB14" s="53">
        <f>+AB15+AB16+AB17</f>
        <v>14110.136999999999</v>
      </c>
      <c r="AC14" s="114">
        <f>AB14/Z14%</f>
        <v>18.285432703522275</v>
      </c>
      <c r="AD14" s="53">
        <f>+AD15+AD16+AD17</f>
        <v>61788</v>
      </c>
      <c r="AE14" s="53">
        <f>+AE15+AE16+AE17</f>
        <v>2757.6239999999998</v>
      </c>
      <c r="AF14" s="53">
        <f>+AF15+AF16+AF17</f>
        <v>19087.631000000001</v>
      </c>
      <c r="AG14" s="114">
        <f>AF14/AD14%</f>
        <v>30.892132776590927</v>
      </c>
      <c r="AH14" s="53">
        <f>+AH15+AH16+AH17</f>
        <v>60928</v>
      </c>
      <c r="AI14" s="53">
        <f>+AI15+AI16+AI17</f>
        <v>15952.562</v>
      </c>
      <c r="AJ14" s="53">
        <f>+AJ15+AJ16+AJ17</f>
        <v>33978.377</v>
      </c>
      <c r="AK14" s="114">
        <f>AJ14/AH14%</f>
        <v>55.768081998424371</v>
      </c>
      <c r="AL14" s="53">
        <f>+AL15+AL16+AL17</f>
        <v>67462</v>
      </c>
      <c r="AM14" s="53">
        <f>+AM15+AM16+AM17</f>
        <v>2583.7109999999998</v>
      </c>
      <c r="AN14" s="53">
        <f>+AN15+AN16+AN17</f>
        <v>26549.690999999999</v>
      </c>
      <c r="AO14" s="114">
        <f>AN14/AL14%</f>
        <v>39.355030980403782</v>
      </c>
      <c r="AP14" s="53">
        <f>+AP15+AP16+AP17</f>
        <v>80724</v>
      </c>
      <c r="AQ14" s="53">
        <f>+AQ15+AQ16+AQ17</f>
        <v>1818.0889999999999</v>
      </c>
      <c r="AR14" s="53">
        <f>+AR15+AR16+AR17</f>
        <v>19607.060000000001</v>
      </c>
      <c r="AS14" s="114">
        <f>AR14/AP14%</f>
        <v>24.289009464347654</v>
      </c>
      <c r="AT14" s="53">
        <f>+AT15+AT16+AT17</f>
        <v>74629</v>
      </c>
      <c r="AU14" s="53">
        <f>+AU15+AU16+AU17</f>
        <v>4751.576</v>
      </c>
      <c r="AV14" s="53">
        <f>+AV15+AV16+AV17</f>
        <v>15837.370999999999</v>
      </c>
      <c r="AW14" s="114">
        <f>AV14/AT14%</f>
        <v>21.221470205952109</v>
      </c>
      <c r="AX14" s="53">
        <f>+AX15+AX16+AX17</f>
        <v>53314</v>
      </c>
      <c r="AY14" s="53">
        <f>+AY15+AY16+AY17</f>
        <v>3591.0169999999998</v>
      </c>
      <c r="AZ14" s="53">
        <f>+AZ15+AZ16+AZ17</f>
        <v>36345.438999999998</v>
      </c>
      <c r="BA14" s="114">
        <f>AZ14/AX14%</f>
        <v>68.17241062385115</v>
      </c>
      <c r="BB14" s="53">
        <f>+BB15+BB16+BB17</f>
        <v>51820</v>
      </c>
      <c r="BC14" s="53">
        <f>+BC15+BC16+BC17</f>
        <v>3262.654</v>
      </c>
      <c r="BD14" s="53">
        <f>+BD15+BD16+BD17</f>
        <v>19161.894</v>
      </c>
      <c r="BE14" s="114">
        <f t="shared" si="18"/>
        <v>36.97779621767657</v>
      </c>
    </row>
    <row r="15" spans="1:57" x14ac:dyDescent="0.25">
      <c r="A15" s="127" t="s">
        <v>17</v>
      </c>
      <c r="B15" s="56">
        <f>120495+13491+230059</f>
        <v>364045</v>
      </c>
      <c r="C15" s="56">
        <f>29778.381-2661.205-2899.555</f>
        <v>24217.620999999999</v>
      </c>
      <c r="D15" s="56">
        <f>227686.437-6945.769-12612.295</f>
        <v>208128.37299999999</v>
      </c>
      <c r="E15" s="114">
        <f t="shared" si="0"/>
        <v>57.17105660014559</v>
      </c>
      <c r="F15" s="56">
        <f t="shared" si="2"/>
        <v>260415</v>
      </c>
      <c r="G15" s="56">
        <f t="shared" si="3"/>
        <v>14266.947999999999</v>
      </c>
      <c r="H15" s="56">
        <f t="shared" si="4"/>
        <v>123398.166</v>
      </c>
      <c r="I15" s="114">
        <f t="shared" si="5"/>
        <v>47.385199009273656</v>
      </c>
      <c r="J15" s="56">
        <f>+N15+R15+V15+Z15+AD15+AH15+AL15+AP15+AT15+AX15+BB15</f>
        <v>103630</v>
      </c>
      <c r="K15" s="56">
        <f>+O15+S15+W15+AA15+AE15+AI15+AM15+AQ15+AU15+AY15+BC15</f>
        <v>9950.6730000000007</v>
      </c>
      <c r="L15" s="56">
        <f>+P15+T15+X15+AB15+AF15+AJ15+AN15+AR15+AV15+AZ15+BD15</f>
        <v>84730.206999999995</v>
      </c>
      <c r="M15" s="114">
        <f t="shared" si="6"/>
        <v>81.762237768985813</v>
      </c>
      <c r="N15" s="56">
        <v>1997</v>
      </c>
      <c r="O15" s="56">
        <f>1330.182-1152.25</f>
        <v>177.93200000000002</v>
      </c>
      <c r="P15" s="56">
        <f>2587.266-1870.443</f>
        <v>716.82300000000009</v>
      </c>
      <c r="Q15" s="114">
        <f t="shared" si="19"/>
        <v>35.894992488733109</v>
      </c>
      <c r="R15" s="56">
        <v>2946</v>
      </c>
      <c r="S15" s="56">
        <f>302.344-10</f>
        <v>292.34399999999999</v>
      </c>
      <c r="T15" s="56">
        <f>429.425-120.057</f>
        <v>309.36799999999999</v>
      </c>
      <c r="U15" s="114">
        <f t="shared" si="20"/>
        <v>10.501289884589273</v>
      </c>
      <c r="V15" s="56">
        <v>4529</v>
      </c>
      <c r="W15" s="56">
        <v>50.811999999999998</v>
      </c>
      <c r="X15" s="56">
        <v>109.31399999999999</v>
      </c>
      <c r="Y15" s="114">
        <f t="shared" si="21"/>
        <v>2.4136453963347315</v>
      </c>
      <c r="Z15" s="56">
        <v>9090</v>
      </c>
      <c r="AA15" s="56">
        <f>614.38-7.38</f>
        <v>607</v>
      </c>
      <c r="AB15" s="56">
        <f>1580.383-56.754</f>
        <v>1523.6290000000001</v>
      </c>
      <c r="AC15" s="114">
        <f>AB15/Z15%</f>
        <v>16.761595159515952</v>
      </c>
      <c r="AD15" s="56">
        <v>9639</v>
      </c>
      <c r="AE15" s="56">
        <v>2605.0790000000002</v>
      </c>
      <c r="AF15" s="56">
        <v>17291.361000000001</v>
      </c>
      <c r="AG15" s="114">
        <f>AF15/AD15%</f>
        <v>179.38957360722068</v>
      </c>
      <c r="AH15" s="56">
        <v>14604</v>
      </c>
      <c r="AI15" s="56">
        <v>122</v>
      </c>
      <c r="AJ15" s="56">
        <f>7451.984-3916.649</f>
        <v>3535.3350000000005</v>
      </c>
      <c r="AK15" s="114">
        <f>AJ15/AH15%</f>
        <v>24.20799096138045</v>
      </c>
      <c r="AL15" s="56">
        <v>13005</v>
      </c>
      <c r="AM15" s="56">
        <v>1546.37</v>
      </c>
      <c r="AN15" s="56">
        <v>10989.394</v>
      </c>
      <c r="AO15" s="114">
        <f>AN15/AL15%</f>
        <v>84.501299500192232</v>
      </c>
      <c r="AP15" s="56">
        <v>18078</v>
      </c>
      <c r="AQ15" s="56">
        <f>315.966-128.866</f>
        <v>187.1</v>
      </c>
      <c r="AR15" s="56">
        <f>13773.745-1691.735</f>
        <v>12082.01</v>
      </c>
      <c r="AS15" s="114">
        <f>AR15/AP15%</f>
        <v>66.832669543091058</v>
      </c>
      <c r="AT15" s="56">
        <v>16807</v>
      </c>
      <c r="AU15" s="56">
        <v>2578.2559999999999</v>
      </c>
      <c r="AV15" s="56">
        <v>10125.790999999999</v>
      </c>
      <c r="AW15" s="114">
        <f>AV15/AT15%</f>
        <v>60.247462366870941</v>
      </c>
      <c r="AX15" s="56">
        <v>7050</v>
      </c>
      <c r="AY15" s="56">
        <v>1783.78</v>
      </c>
      <c r="AZ15" s="56">
        <v>20130.807000000001</v>
      </c>
      <c r="BA15" s="114">
        <f>AZ15/AX15%</f>
        <v>285.5433617021277</v>
      </c>
      <c r="BB15" s="56">
        <v>5885</v>
      </c>
      <c r="BC15" s="56">
        <v>0</v>
      </c>
      <c r="BD15" s="56">
        <v>7916.375</v>
      </c>
      <c r="BE15" s="114">
        <f t="shared" si="18"/>
        <v>134.517841971113</v>
      </c>
    </row>
    <row r="16" spans="1:57" x14ac:dyDescent="0.25">
      <c r="A16" s="127" t="s">
        <v>18</v>
      </c>
      <c r="B16" s="56">
        <v>73530</v>
      </c>
      <c r="C16" s="56">
        <f>19923.742-1169.558-194.212</f>
        <v>18559.971999999998</v>
      </c>
      <c r="D16" s="56">
        <f>63656.691-2513.314-448.641</f>
        <v>60694.735999999997</v>
      </c>
      <c r="E16" s="114">
        <f t="shared" si="0"/>
        <v>82.544180606555145</v>
      </c>
      <c r="F16" s="56">
        <f t="shared" si="2"/>
        <v>32830</v>
      </c>
      <c r="G16" s="56">
        <f t="shared" si="3"/>
        <v>286.65299999999843</v>
      </c>
      <c r="H16" s="56">
        <f t="shared" si="4"/>
        <v>12345.142</v>
      </c>
      <c r="I16" s="114">
        <f t="shared" si="5"/>
        <v>37.603234846177273</v>
      </c>
      <c r="J16" s="56">
        <f>+N16+R16+V16+Z16+AD16+AH16+AL16+AP16+AT16+AX16+BB16</f>
        <v>40700</v>
      </c>
      <c r="K16" s="56">
        <f>+O16+S16+W16+AA16+AE16+AI16+AM16+AQ16+AU16+AY16+BC16</f>
        <v>18273.319</v>
      </c>
      <c r="L16" s="56">
        <f>+P16+T16+X16+AB16+AF16+AJ16+AN16+AR16+AV16+AZ16+BD16</f>
        <v>48349.593999999997</v>
      </c>
      <c r="M16" s="114">
        <f t="shared" si="6"/>
        <v>118.79507125307124</v>
      </c>
      <c r="N16" s="56">
        <v>3700</v>
      </c>
      <c r="O16" s="56">
        <v>0</v>
      </c>
      <c r="P16" s="56">
        <v>918.99300000000005</v>
      </c>
      <c r="Q16" s="114">
        <f t="shared" si="19"/>
        <v>24.837648648648649</v>
      </c>
      <c r="R16" s="56">
        <v>3700</v>
      </c>
      <c r="S16" s="56"/>
      <c r="T16" s="56">
        <v>0</v>
      </c>
      <c r="U16" s="114">
        <f t="shared" si="20"/>
        <v>0</v>
      </c>
      <c r="V16" s="56">
        <v>3700</v>
      </c>
      <c r="W16" s="56">
        <v>633.19200000000001</v>
      </c>
      <c r="X16" s="56">
        <v>9256.5169999999998</v>
      </c>
      <c r="Y16" s="114">
        <f t="shared" si="21"/>
        <v>250.17613513513513</v>
      </c>
      <c r="Z16" s="56">
        <v>3700</v>
      </c>
      <c r="AA16" s="56">
        <f>194.212-194.212</f>
        <v>0</v>
      </c>
      <c r="AB16" s="56">
        <f>1461.993-448.641</f>
        <v>1013.3519999999999</v>
      </c>
      <c r="AC16" s="114">
        <f>AB16/Z16%</f>
        <v>27.38789189189189</v>
      </c>
      <c r="AD16" s="56">
        <v>3700</v>
      </c>
      <c r="AE16" s="56">
        <v>45.262999999999998</v>
      </c>
      <c r="AF16" s="56">
        <v>361.988</v>
      </c>
      <c r="AG16" s="114">
        <f>AF16/AD16%</f>
        <v>9.7834594594594595</v>
      </c>
      <c r="AH16" s="56">
        <v>3700</v>
      </c>
      <c r="AI16" s="56">
        <v>14550.880999999999</v>
      </c>
      <c r="AJ16" s="56">
        <v>25918.994999999999</v>
      </c>
      <c r="AK16" s="114">
        <f>AJ16/AH16%</f>
        <v>700.51337837837832</v>
      </c>
      <c r="AL16" s="56">
        <v>3700</v>
      </c>
      <c r="AM16" s="56">
        <v>825.15800000000002</v>
      </c>
      <c r="AN16" s="56">
        <v>1723.1859999999999</v>
      </c>
      <c r="AO16" s="114">
        <f>AN16/AL16%</f>
        <v>46.572594594594591</v>
      </c>
      <c r="AP16" s="56">
        <v>3700</v>
      </c>
      <c r="AQ16" s="56">
        <v>0</v>
      </c>
      <c r="AR16" s="56">
        <v>816.33100000000002</v>
      </c>
      <c r="AS16" s="114">
        <f>AR16/AP16%</f>
        <v>22.062999999999999</v>
      </c>
      <c r="AT16" s="56">
        <v>3700</v>
      </c>
      <c r="AU16" s="56">
        <v>90.161000000000001</v>
      </c>
      <c r="AV16" s="56">
        <v>281.38400000000001</v>
      </c>
      <c r="AW16" s="114">
        <f>AV16/AT16%</f>
        <v>7.6049729729729734</v>
      </c>
      <c r="AX16" s="56">
        <v>3700</v>
      </c>
      <c r="AY16" s="56">
        <v>0</v>
      </c>
      <c r="AZ16" s="56">
        <v>3335.2559999999999</v>
      </c>
      <c r="BA16" s="114">
        <f>AZ16/AX16%</f>
        <v>90.142054054054057</v>
      </c>
      <c r="BB16" s="56">
        <v>3700</v>
      </c>
      <c r="BC16" s="56">
        <v>2128.6640000000002</v>
      </c>
      <c r="BD16" s="56">
        <v>4723.5919999999996</v>
      </c>
      <c r="BE16" s="114">
        <f t="shared" si="18"/>
        <v>127.66464864864864</v>
      </c>
    </row>
    <row r="17" spans="1:57" x14ac:dyDescent="0.25">
      <c r="A17" s="127" t="s">
        <v>36</v>
      </c>
      <c r="B17" s="56">
        <f>4400+283500+225067+39406+196897+61600</f>
        <v>810870</v>
      </c>
      <c r="C17" s="56">
        <f>84162.679-C15-C16-6511.384-2899.555-194.212-7196.937</f>
        <v>24582.998000000014</v>
      </c>
      <c r="D17" s="56">
        <f>480836.022-D15-D16-21745.433-12612.295-448.641-17389.165</f>
        <v>159817.37899999996</v>
      </c>
      <c r="E17" s="114">
        <f t="shared" si="0"/>
        <v>19.709371292562306</v>
      </c>
      <c r="F17" s="56">
        <f t="shared" si="2"/>
        <v>298061</v>
      </c>
      <c r="G17" s="56">
        <f t="shared" si="3"/>
        <v>9348.8700000000172</v>
      </c>
      <c r="H17" s="56">
        <f t="shared" si="4"/>
        <v>62749.821999999956</v>
      </c>
      <c r="I17" s="114">
        <f t="shared" si="5"/>
        <v>21.052677807562866</v>
      </c>
      <c r="J17" s="56">
        <f>+N17+R17+V17+Z17+AD17+AH17+AL17+AP17+AT17+AX17+BB17</f>
        <v>512809</v>
      </c>
      <c r="K17" s="56">
        <f>+O17+S17+W17+AA17+AE17+AI17+AM17+AQ17+AU17+AY17+BC17</f>
        <v>15234.127999999997</v>
      </c>
      <c r="L17" s="56">
        <f>+P17+T17+X17+AB17+AF17+AJ17+AN17+AR17+AV17+AZ17+BD17</f>
        <v>97067.557000000001</v>
      </c>
      <c r="M17" s="114">
        <f t="shared" si="6"/>
        <v>18.928598562037717</v>
      </c>
      <c r="N17" s="56">
        <f>400+35300+2082+8265</f>
        <v>46047</v>
      </c>
      <c r="O17" s="56">
        <f>6010.729-O15-O16-1152.25</f>
        <v>4680.5470000000005</v>
      </c>
      <c r="P17" s="56">
        <f>19800.746-P15-P16-1870.443</f>
        <v>16294.487000000001</v>
      </c>
      <c r="Q17" s="114">
        <f t="shared" si="19"/>
        <v>35.386641909353486</v>
      </c>
      <c r="R17" s="56">
        <f>400+12100+3071+5616</f>
        <v>21187</v>
      </c>
      <c r="S17" s="56">
        <f>1366.713-S15-S16-10</f>
        <v>1064.3689999999999</v>
      </c>
      <c r="T17" s="56">
        <f>4025.18-T15-T16-120.057</f>
        <v>3595.7550000000001</v>
      </c>
      <c r="U17" s="114">
        <f t="shared" si="20"/>
        <v>16.971515551989427</v>
      </c>
      <c r="V17" s="56">
        <f>400+25700+4722+10680</f>
        <v>41502</v>
      </c>
      <c r="W17" s="56">
        <f>1880.032-W15-W16-4.47</f>
        <v>1191.558</v>
      </c>
      <c r="X17" s="56">
        <f>23670.558-X15-X16-36.226</f>
        <v>14268.501000000002</v>
      </c>
      <c r="Y17" s="114">
        <f t="shared" si="21"/>
        <v>34.380273239843866</v>
      </c>
      <c r="Z17" s="56">
        <f>400+39500+9476+15000</f>
        <v>64376</v>
      </c>
      <c r="AA17" s="56">
        <f>1319.725-AA15-AA16-7.38-194.212-468</f>
        <v>43.132999999999925</v>
      </c>
      <c r="AB17" s="56">
        <f>18803.532-AB15-AB16-56.754-448.641-4188</f>
        <v>11573.155999999999</v>
      </c>
      <c r="AC17" s="114">
        <f>AB17/Z17%</f>
        <v>17.977438797067229</v>
      </c>
      <c r="AD17" s="56">
        <f>400+25000+10049+13000</f>
        <v>48449</v>
      </c>
      <c r="AE17" s="56">
        <f>2757.624-AE15-AE16</f>
        <v>107.28199999999961</v>
      </c>
      <c r="AF17" s="56">
        <f>19087.631-AF15-AF16</f>
        <v>1434.2820000000004</v>
      </c>
      <c r="AG17" s="114">
        <f>AF17/AD17%</f>
        <v>2.9603954673987087</v>
      </c>
      <c r="AH17" s="56">
        <f>400+23000+15224+4000</f>
        <v>42624</v>
      </c>
      <c r="AI17" s="56">
        <f>15952.562-AI15-AI16</f>
        <v>1279.6810000000005</v>
      </c>
      <c r="AJ17" s="56">
        <f>37895.026-AJ15-AJ16-3916.649</f>
        <v>4524.0470000000005</v>
      </c>
      <c r="AK17" s="114">
        <f>AJ17/AH17%</f>
        <v>10.613849005255256</v>
      </c>
      <c r="AL17" s="56">
        <f>400+18800+13557+18000</f>
        <v>50757</v>
      </c>
      <c r="AM17" s="56">
        <f>2693.711-AM15-AM16-110</f>
        <v>212.18299999999988</v>
      </c>
      <c r="AN17" s="56">
        <f>29899.272-AN15-AN16-3349.581</f>
        <v>13837.110999999999</v>
      </c>
      <c r="AO17" s="114">
        <f>AN17/AL17%</f>
        <v>27.261483145181945</v>
      </c>
      <c r="AP17" s="56">
        <f>400+29700+18846+10000</f>
        <v>58946</v>
      </c>
      <c r="AQ17" s="56">
        <f>1946.955-AQ15-AQ16-128.866</f>
        <v>1630.989</v>
      </c>
      <c r="AR17" s="56">
        <f>21996.396-AR15-AR16-1691.735-697.601</f>
        <v>6708.719000000001</v>
      </c>
      <c r="AS17" s="114">
        <f>AR17/AP17%</f>
        <v>11.381126794014863</v>
      </c>
      <c r="AT17" s="56">
        <f>400+25200+17522+11000</f>
        <v>54122</v>
      </c>
      <c r="AU17" s="56">
        <f>4751.576-AU15-AU16</f>
        <v>2083.1590000000001</v>
      </c>
      <c r="AV17" s="56">
        <f>15837.371-AV15-AV16</f>
        <v>5430.1959999999999</v>
      </c>
      <c r="AW17" s="114">
        <f>AV17/AT17%</f>
        <v>10.033250803739698</v>
      </c>
      <c r="AX17" s="56">
        <f>400+28000+7350+6814</f>
        <v>42564</v>
      </c>
      <c r="AY17" s="56">
        <f>3591.017-AY15-AY16</f>
        <v>1807.2369999999999</v>
      </c>
      <c r="AZ17" s="56">
        <f>36345.439-AZ15-AZ16</f>
        <v>12879.375999999998</v>
      </c>
      <c r="BA17" s="114">
        <f>AZ17/AX17%</f>
        <v>30.258847852645424</v>
      </c>
      <c r="BB17" s="56">
        <f>400+21200+6135+14500</f>
        <v>42235</v>
      </c>
      <c r="BC17" s="56">
        <f>3262.654-BC15-BC16</f>
        <v>1133.9899999999998</v>
      </c>
      <c r="BD17" s="56">
        <f>19161.894-BD15-BD16</f>
        <v>6521.9270000000006</v>
      </c>
      <c r="BE17" s="114">
        <f t="shared" si="18"/>
        <v>15.441995974902333</v>
      </c>
    </row>
    <row r="18" spans="1:57" s="92" customFormat="1" ht="14.25" x14ac:dyDescent="0.2">
      <c r="A18" s="126" t="s">
        <v>28</v>
      </c>
      <c r="B18" s="53">
        <f t="shared" ref="B18:D18" si="22">+B19+B20+B21+B22+B23+B24+B25+B26</f>
        <v>7420961.5999999996</v>
      </c>
      <c r="C18" s="53">
        <f t="shared" si="22"/>
        <v>649542.98100000003</v>
      </c>
      <c r="D18" s="53">
        <f t="shared" si="22"/>
        <v>4779896.3509999998</v>
      </c>
      <c r="E18" s="91">
        <f t="shared" si="0"/>
        <v>64.41074093416681</v>
      </c>
      <c r="F18" s="53">
        <f t="shared" si="2"/>
        <v>2383686.5999999996</v>
      </c>
      <c r="G18" s="53">
        <f t="shared" si="3"/>
        <v>142200.60600000003</v>
      </c>
      <c r="H18" s="53">
        <f t="shared" si="4"/>
        <v>1354827.3279999997</v>
      </c>
      <c r="I18" s="91">
        <f t="shared" si="5"/>
        <v>56.837477208622978</v>
      </c>
      <c r="J18" s="53">
        <f>+N18+R18+V18+Z18+AD18+AH18+AL18+AP18+AT18+AX18+BB18</f>
        <v>5037275</v>
      </c>
      <c r="K18" s="53">
        <f>+O18+S18+W18+AA18+AE18+AI18+AM18+AQ18+AU18+AY18+BC18</f>
        <v>507342.375</v>
      </c>
      <c r="L18" s="53">
        <f>+P18+T18+X18+AB18+AF18+AJ18+AN18+AR18+AV18+AZ18+BD18</f>
        <v>3425069.023</v>
      </c>
      <c r="M18" s="91">
        <f t="shared" si="6"/>
        <v>67.99448159967443</v>
      </c>
      <c r="N18" s="53">
        <f t="shared" ref="N18:P18" si="23">+N19+N20+N21+N22+N23+N24+N25+N26</f>
        <v>501811</v>
      </c>
      <c r="O18" s="53">
        <f t="shared" si="23"/>
        <v>50421.636999999995</v>
      </c>
      <c r="P18" s="53">
        <f t="shared" si="23"/>
        <v>344414.70699999999</v>
      </c>
      <c r="Q18" s="91">
        <f t="shared" si="19"/>
        <v>68.63434779229631</v>
      </c>
      <c r="R18" s="53">
        <f t="shared" ref="R18:T18" si="24">+R19+R20+R21+R22+R23+R24+R25+R26</f>
        <v>268850</v>
      </c>
      <c r="S18" s="53">
        <f t="shared" si="24"/>
        <v>24596.858</v>
      </c>
      <c r="T18" s="53">
        <f t="shared" si="24"/>
        <v>171678.15100000001</v>
      </c>
      <c r="U18" s="91">
        <f t="shared" si="20"/>
        <v>63.856481681234897</v>
      </c>
      <c r="V18" s="53">
        <f t="shared" ref="V18:X18" si="25">+V19+V20+V21+V22+V23+V24+V25+V26</f>
        <v>409745</v>
      </c>
      <c r="W18" s="53">
        <f t="shared" si="25"/>
        <v>38782.431000000004</v>
      </c>
      <c r="X18" s="53">
        <f t="shared" si="25"/>
        <v>277134.32500000001</v>
      </c>
      <c r="Y18" s="91">
        <f t="shared" si="21"/>
        <v>67.635803975643398</v>
      </c>
      <c r="Z18" s="53">
        <f t="shared" ref="Z18:AB18" si="26">+Z19+Z20+Z21+Z22+Z23+Z24+Z25+Z26</f>
        <v>715460</v>
      </c>
      <c r="AA18" s="53">
        <f t="shared" si="26"/>
        <v>74240.027000000002</v>
      </c>
      <c r="AB18" s="53">
        <f t="shared" si="26"/>
        <v>501218.88699999999</v>
      </c>
      <c r="AC18" s="91">
        <f>AB18/Z18%</f>
        <v>70.055472982416902</v>
      </c>
      <c r="AD18" s="53">
        <f t="shared" ref="AD18:AF18" si="27">+AD19+AD20+AD21+AD22+AD23+AD24+AD25+AD26</f>
        <v>470389</v>
      </c>
      <c r="AE18" s="53">
        <f t="shared" si="27"/>
        <v>50567.631000000001</v>
      </c>
      <c r="AF18" s="53">
        <f t="shared" si="27"/>
        <v>326183.72400000005</v>
      </c>
      <c r="AG18" s="91">
        <f>AF18/AD18%</f>
        <v>69.343399611810653</v>
      </c>
      <c r="AH18" s="53">
        <f t="shared" ref="AH18:AJ18" si="28">+AH19+AH20+AH21+AH22+AH23+AH24+AH25+AH26</f>
        <v>510664</v>
      </c>
      <c r="AI18" s="53">
        <f t="shared" si="28"/>
        <v>48696.846999999994</v>
      </c>
      <c r="AJ18" s="53">
        <f t="shared" si="28"/>
        <v>332773.61</v>
      </c>
      <c r="AK18" s="91">
        <f>AJ18/AH18%</f>
        <v>65.164885325771934</v>
      </c>
      <c r="AL18" s="53">
        <f t="shared" ref="AL18:AM18" si="29">+AL19+AL20+AL21+AL22+AL23+AL24+AL25+AL26</f>
        <v>423926</v>
      </c>
      <c r="AM18" s="53">
        <f t="shared" si="29"/>
        <v>47849.296000000002</v>
      </c>
      <c r="AN18" s="53">
        <f>+AN19+AN20+AN21+AN22+AN23+AN24+AN25+AN26</f>
        <v>300659.76199999999</v>
      </c>
      <c r="AO18" s="91">
        <f>AN18/AL18%</f>
        <v>70.922699244679492</v>
      </c>
      <c r="AP18" s="53">
        <f t="shared" ref="AP18:AR18" si="30">+AP19+AP20+AP21+AP22+AP23+AP24+AP25+AP26</f>
        <v>472525</v>
      </c>
      <c r="AQ18" s="53">
        <f t="shared" si="30"/>
        <v>47431.764000000003</v>
      </c>
      <c r="AR18" s="53">
        <f t="shared" si="30"/>
        <v>330384.62000000005</v>
      </c>
      <c r="AS18" s="91">
        <f>AR18/AP18%</f>
        <v>69.918971482990329</v>
      </c>
      <c r="AT18" s="53">
        <f t="shared" ref="AT18:AV18" si="31">+AT19+AT20+AT21+AT22+AT23+AT24+AT25+AT26</f>
        <v>437122</v>
      </c>
      <c r="AU18" s="53">
        <f t="shared" si="31"/>
        <v>44657.368000000002</v>
      </c>
      <c r="AV18" s="53">
        <f t="shared" si="31"/>
        <v>302504.37599999999</v>
      </c>
      <c r="AW18" s="91">
        <f>AV18/AT18%</f>
        <v>69.203649324444882</v>
      </c>
      <c r="AX18" s="53">
        <f t="shared" ref="AX18:AZ18" si="32">+AX19+AX20+AX21+AX22+AX23+AX24+AX25+AX26</f>
        <v>407517</v>
      </c>
      <c r="AY18" s="53">
        <f t="shared" si="32"/>
        <v>37850.063999999998</v>
      </c>
      <c r="AZ18" s="53">
        <f t="shared" si="32"/>
        <v>270075.44699999999</v>
      </c>
      <c r="BA18" s="91">
        <f>AZ18/AX18%</f>
        <v>66.273418532233009</v>
      </c>
      <c r="BB18" s="53">
        <f t="shared" ref="BB18:BD18" si="33">+BB19+BB20+BB21+BB22+BB23+BB24+BB25+BB26</f>
        <v>419266</v>
      </c>
      <c r="BC18" s="53">
        <f t="shared" si="33"/>
        <v>42248.451999999997</v>
      </c>
      <c r="BD18" s="53">
        <f t="shared" si="33"/>
        <v>268041.41399999999</v>
      </c>
      <c r="BE18" s="91">
        <f t="shared" si="18"/>
        <v>63.931111513931491</v>
      </c>
    </row>
    <row r="19" spans="1:57" x14ac:dyDescent="0.25">
      <c r="A19" s="127" t="s">
        <v>19</v>
      </c>
      <c r="B19" s="56">
        <v>5148024.5999999996</v>
      </c>
      <c r="C19" s="56">
        <f>496956.979-500.109-1422.313</f>
        <v>495034.55699999997</v>
      </c>
      <c r="D19" s="56">
        <f>3347498.315-3737.293-4437.992</f>
        <v>3339323.03</v>
      </c>
      <c r="E19" s="114">
        <f t="shared" si="0"/>
        <v>64.866104757929861</v>
      </c>
      <c r="F19" s="56">
        <f t="shared" si="2"/>
        <v>924354.59999999963</v>
      </c>
      <c r="G19" s="56">
        <f t="shared" si="3"/>
        <v>76073.968999999925</v>
      </c>
      <c r="H19" s="56">
        <f t="shared" si="4"/>
        <v>546373.66000000015</v>
      </c>
      <c r="I19" s="114">
        <f t="shared" si="5"/>
        <v>59.108664575261521</v>
      </c>
      <c r="J19" s="56">
        <f>+N19+R19+V19+Z19+AD19+AH19+AL19+AP19+AT19+AX19+BB19</f>
        <v>4223670</v>
      </c>
      <c r="K19" s="56">
        <f>+O19+S19+W19+AA19+AE19+AI19+AM19+AQ19+AU19+AY19+BC19</f>
        <v>418960.58800000005</v>
      </c>
      <c r="L19" s="56">
        <f>+P19+T19+X19+AB19+AF19+AJ19+AN19+AR19+AV19+AZ19+BD19</f>
        <v>2792949.3699999996</v>
      </c>
      <c r="M19" s="114">
        <f t="shared" si="6"/>
        <v>66.126126567653245</v>
      </c>
      <c r="N19" s="56">
        <v>428955</v>
      </c>
      <c r="O19" s="56">
        <v>39327.180999999997</v>
      </c>
      <c r="P19" s="56">
        <v>273004.86300000001</v>
      </c>
      <c r="Q19" s="114">
        <f t="shared" si="19"/>
        <v>63.644173165017307</v>
      </c>
      <c r="R19" s="56">
        <v>216524</v>
      </c>
      <c r="S19" s="56">
        <v>19302.054</v>
      </c>
      <c r="T19" s="56">
        <v>137518.07399999999</v>
      </c>
      <c r="U19" s="114">
        <f t="shared" si="20"/>
        <v>63.511700319595057</v>
      </c>
      <c r="V19" s="56">
        <v>325118</v>
      </c>
      <c r="W19" s="56">
        <f>30339.3-86.85</f>
        <v>30252.45</v>
      </c>
      <c r="X19" s="56">
        <f>214323.11-180.1</f>
        <v>214143.00999999998</v>
      </c>
      <c r="Y19" s="114">
        <f t="shared" si="21"/>
        <v>65.866242410447896</v>
      </c>
      <c r="Z19" s="56">
        <v>610183</v>
      </c>
      <c r="AA19" s="56">
        <f>60577.746-364.025</f>
        <v>60213.720999999998</v>
      </c>
      <c r="AB19" s="56">
        <f>414216.458-913.105</f>
        <v>413303.353</v>
      </c>
      <c r="AC19" s="114">
        <f>AB19/Z19%</f>
        <v>67.734327734466547</v>
      </c>
      <c r="AD19" s="56">
        <v>395806</v>
      </c>
      <c r="AE19" s="56">
        <v>41348.675999999999</v>
      </c>
      <c r="AF19" s="56">
        <v>269392.64199999999</v>
      </c>
      <c r="AG19" s="114">
        <f>AF19/AD19%</f>
        <v>68.061788350858748</v>
      </c>
      <c r="AH19" s="56">
        <v>416322</v>
      </c>
      <c r="AI19" s="56">
        <f>36981.914-65.991</f>
        <v>36915.922999999995</v>
      </c>
      <c r="AJ19" s="56">
        <f>258409.753-228.341</f>
        <v>258181.41200000001</v>
      </c>
      <c r="AK19" s="114">
        <f>AJ19/AH19%</f>
        <v>62.014837553624353</v>
      </c>
      <c r="AL19" s="56">
        <v>355021</v>
      </c>
      <c r="AM19" s="56">
        <v>38068.631000000001</v>
      </c>
      <c r="AN19" s="56">
        <v>242730.49900000001</v>
      </c>
      <c r="AO19" s="114">
        <f>AN19/AL19%</f>
        <v>68.370743984158679</v>
      </c>
      <c r="AP19" s="56">
        <v>408240</v>
      </c>
      <c r="AQ19" s="56">
        <f>42847.517-50.9</f>
        <v>42796.616999999998</v>
      </c>
      <c r="AR19" s="56">
        <f>283115.72-344.55</f>
        <v>282771.17</v>
      </c>
      <c r="AS19" s="114">
        <f>AR19/AP19%</f>
        <v>69.265914658044281</v>
      </c>
      <c r="AT19" s="56">
        <v>373401</v>
      </c>
      <c r="AU19" s="56">
        <f>37396.214-223.429</f>
        <v>37172.785000000003</v>
      </c>
      <c r="AV19" s="56">
        <f>250599.196-274.549</f>
        <v>250324.647</v>
      </c>
      <c r="AW19" s="114">
        <f>AV19/AT19%</f>
        <v>67.039093896374141</v>
      </c>
      <c r="AX19" s="56">
        <v>345242</v>
      </c>
      <c r="AY19" s="56">
        <v>31986.978999999999</v>
      </c>
      <c r="AZ19" s="56">
        <f>226882.687-21.5</f>
        <v>226861.18700000001</v>
      </c>
      <c r="BA19" s="114">
        <f>AZ19/AX19%</f>
        <v>65.710773022980987</v>
      </c>
      <c r="BB19" s="56">
        <v>348858</v>
      </c>
      <c r="BC19" s="56">
        <v>41575.571000000004</v>
      </c>
      <c r="BD19" s="56">
        <v>224718.51300000001</v>
      </c>
      <c r="BE19" s="114">
        <f t="shared" si="18"/>
        <v>64.415467898113278</v>
      </c>
    </row>
    <row r="20" spans="1:57" x14ac:dyDescent="0.25">
      <c r="A20" s="127" t="s">
        <v>20</v>
      </c>
      <c r="B20" s="56">
        <v>1025796</v>
      </c>
      <c r="C20" s="56">
        <f>42573.894-1.5-33.045</f>
        <v>42539.349000000002</v>
      </c>
      <c r="D20" s="56">
        <f>622946.938-1.5-155.408</f>
        <v>622790.02999999991</v>
      </c>
      <c r="E20" s="114">
        <f t="shared" si="0"/>
        <v>60.712854212728452</v>
      </c>
      <c r="F20" s="56">
        <f t="shared" si="2"/>
        <v>1022096</v>
      </c>
      <c r="G20" s="56">
        <f t="shared" si="3"/>
        <v>42383.735000000001</v>
      </c>
      <c r="H20" s="56">
        <f t="shared" si="4"/>
        <v>620193.81599999988</v>
      </c>
      <c r="I20" s="114">
        <f t="shared" si="5"/>
        <v>60.678626665205613</v>
      </c>
      <c r="J20" s="56">
        <f>+N20+R20+V20+Z20+AD20+AH20+AL20+AP20+AT20+AX20+BB20</f>
        <v>3700</v>
      </c>
      <c r="K20" s="56">
        <f>+O20+S20+W20+AA20+AE20+AI20+AM20+AQ20+AU20+AY20+BC20</f>
        <v>155.614</v>
      </c>
      <c r="L20" s="56">
        <f>+P20+T20+X20+AB20+AF20+AJ20+AN20+AR20+AV20+AZ20+BD20</f>
        <v>2596.2139999999999</v>
      </c>
      <c r="M20" s="114">
        <f t="shared" si="6"/>
        <v>70.167945945945945</v>
      </c>
      <c r="N20" s="56">
        <v>700</v>
      </c>
      <c r="O20" s="56">
        <v>10.552</v>
      </c>
      <c r="P20" s="56">
        <v>310.55200000000002</v>
      </c>
      <c r="Q20" s="114">
        <f t="shared" si="19"/>
        <v>44.364571428571431</v>
      </c>
      <c r="R20" s="56">
        <v>300</v>
      </c>
      <c r="S20" s="56">
        <v>0</v>
      </c>
      <c r="T20" s="56">
        <v>200</v>
      </c>
      <c r="U20" s="114">
        <f t="shared" si="20"/>
        <v>66.666666666666671</v>
      </c>
      <c r="V20" s="56">
        <v>300</v>
      </c>
      <c r="W20" s="56">
        <v>80.56</v>
      </c>
      <c r="X20" s="56">
        <v>300</v>
      </c>
      <c r="Y20" s="114">
        <f t="shared" si="21"/>
        <v>100</v>
      </c>
      <c r="Z20" s="56">
        <v>300</v>
      </c>
      <c r="AA20" s="56">
        <v>0</v>
      </c>
      <c r="AB20" s="56">
        <v>40.26</v>
      </c>
      <c r="AC20" s="114">
        <f>AB20/Z20%</f>
        <v>13.42</v>
      </c>
      <c r="AD20" s="56">
        <v>300</v>
      </c>
      <c r="AE20" s="56">
        <v>10</v>
      </c>
      <c r="AF20" s="56">
        <v>155</v>
      </c>
      <c r="AG20" s="114">
        <f>AF20/AD20%</f>
        <v>51.666666666666664</v>
      </c>
      <c r="AH20" s="56">
        <v>300</v>
      </c>
      <c r="AI20" s="56">
        <v>0</v>
      </c>
      <c r="AJ20" s="56">
        <v>568.91999999999996</v>
      </c>
      <c r="AK20" s="114">
        <f>AJ20/AH20%</f>
        <v>189.64</v>
      </c>
      <c r="AL20" s="56">
        <v>300</v>
      </c>
      <c r="AM20" s="56">
        <v>0</v>
      </c>
      <c r="AN20" s="56">
        <v>225</v>
      </c>
      <c r="AO20" s="114">
        <f>AN20/AL20%</f>
        <v>75</v>
      </c>
      <c r="AP20" s="56">
        <v>300</v>
      </c>
      <c r="AQ20" s="56">
        <v>34.502000000000002</v>
      </c>
      <c r="AR20" s="56">
        <v>186.482</v>
      </c>
      <c r="AS20" s="114">
        <f>AR20/AP20%</f>
        <v>62.160666666666664</v>
      </c>
      <c r="AT20" s="56">
        <v>300</v>
      </c>
      <c r="AU20" s="56"/>
      <c r="AV20" s="56">
        <v>300</v>
      </c>
      <c r="AW20" s="114">
        <f>AV20/AT20%</f>
        <v>100</v>
      </c>
      <c r="AX20" s="56">
        <v>300</v>
      </c>
      <c r="AY20" s="56">
        <v>20</v>
      </c>
      <c r="AZ20" s="56">
        <v>210</v>
      </c>
      <c r="BA20" s="114">
        <f>AZ20/AX20%</f>
        <v>70</v>
      </c>
      <c r="BB20" s="56">
        <v>300</v>
      </c>
      <c r="BC20" s="56"/>
      <c r="BD20" s="56">
        <v>100</v>
      </c>
      <c r="BE20" s="114">
        <f t="shared" si="18"/>
        <v>33.333333333333336</v>
      </c>
    </row>
    <row r="21" spans="1:57" x14ac:dyDescent="0.25">
      <c r="A21" s="127" t="s">
        <v>43</v>
      </c>
      <c r="B21" s="56">
        <v>37983</v>
      </c>
      <c r="C21" s="56">
        <v>331.15300000000002</v>
      </c>
      <c r="D21" s="56">
        <v>17057.123</v>
      </c>
      <c r="E21" s="114">
        <f t="shared" si="0"/>
        <v>44.907255877629467</v>
      </c>
      <c r="F21" s="56">
        <f t="shared" si="2"/>
        <v>37983</v>
      </c>
      <c r="G21" s="56">
        <f t="shared" si="3"/>
        <v>331.15300000000002</v>
      </c>
      <c r="H21" s="56">
        <f t="shared" si="4"/>
        <v>17041.323</v>
      </c>
      <c r="I21" s="114">
        <f t="shared" si="5"/>
        <v>44.865658320827741</v>
      </c>
      <c r="J21" s="56">
        <f>+N21+R21+V21+Z21+AD21+AH21+AL21+AP21+AT21+AX21+BB21</f>
        <v>0</v>
      </c>
      <c r="K21" s="56">
        <f>+O21+S21+W21+AA21+AE21+AI21+AM21+AQ21+AU21+AY21+BC21</f>
        <v>0</v>
      </c>
      <c r="L21" s="56">
        <f>+P21+T21+X21+AB21+AF21+AJ21+AN21+AR21+AV21+AZ21+BD21</f>
        <v>15.8</v>
      </c>
      <c r="M21" s="114"/>
      <c r="N21" s="56">
        <v>0</v>
      </c>
      <c r="O21" s="56"/>
      <c r="P21" s="56">
        <v>0</v>
      </c>
      <c r="Q21" s="114"/>
      <c r="R21" s="56">
        <v>0</v>
      </c>
      <c r="S21" s="56"/>
      <c r="T21" s="56">
        <v>0</v>
      </c>
      <c r="U21" s="114"/>
      <c r="V21" s="56">
        <v>0</v>
      </c>
      <c r="W21" s="56"/>
      <c r="X21" s="56"/>
      <c r="Y21" s="114"/>
      <c r="Z21" s="56">
        <v>0</v>
      </c>
      <c r="AA21" s="56"/>
      <c r="AB21" s="56"/>
      <c r="AC21" s="114"/>
      <c r="AD21" s="56">
        <v>0</v>
      </c>
      <c r="AE21" s="56"/>
      <c r="AF21" s="56"/>
      <c r="AG21" s="114"/>
      <c r="AH21" s="56">
        <v>0</v>
      </c>
      <c r="AI21" s="56"/>
      <c r="AJ21" s="56"/>
      <c r="AK21" s="114"/>
      <c r="AL21" s="56">
        <v>0</v>
      </c>
      <c r="AM21" s="56">
        <v>0</v>
      </c>
      <c r="AN21" s="56">
        <v>15.8</v>
      </c>
      <c r="AO21" s="114"/>
      <c r="AP21" s="56">
        <v>0</v>
      </c>
      <c r="AQ21" s="56"/>
      <c r="AR21" s="56"/>
      <c r="AS21" s="114"/>
      <c r="AT21" s="56">
        <v>0</v>
      </c>
      <c r="AU21" s="56"/>
      <c r="AV21" s="56"/>
      <c r="AW21" s="114"/>
      <c r="AX21" s="56">
        <v>0</v>
      </c>
      <c r="AY21" s="56"/>
      <c r="AZ21" s="56"/>
      <c r="BA21" s="114"/>
      <c r="BB21" s="56">
        <v>0</v>
      </c>
      <c r="BC21" s="56"/>
      <c r="BD21" s="56"/>
      <c r="BE21" s="114"/>
    </row>
    <row r="22" spans="1:57" x14ac:dyDescent="0.25">
      <c r="A22" s="127" t="s">
        <v>44</v>
      </c>
      <c r="B22" s="56">
        <v>124839</v>
      </c>
      <c r="C22" s="56">
        <f>13707.15-254.699-2117.293</f>
        <v>11335.157999999999</v>
      </c>
      <c r="D22" s="56">
        <f>100864.84-4093.094-4992.372</f>
        <v>91779.373999999996</v>
      </c>
      <c r="E22" s="114">
        <f t="shared" si="0"/>
        <v>73.518190629530821</v>
      </c>
      <c r="F22" s="56">
        <f t="shared" si="2"/>
        <v>71949</v>
      </c>
      <c r="G22" s="56">
        <f t="shared" si="3"/>
        <v>5385.168999999999</v>
      </c>
      <c r="H22" s="56">
        <f t="shared" si="4"/>
        <v>43975.847999999991</v>
      </c>
      <c r="I22" s="114">
        <f t="shared" si="5"/>
        <v>61.120860609598452</v>
      </c>
      <c r="J22" s="56">
        <f>+N22+R22+V22+Z22+AD22+AH22+AL22+AP22+AT22+AX22+BB22</f>
        <v>52890</v>
      </c>
      <c r="K22" s="56">
        <f>+O22+S22+W22+AA22+AE22+AI22+AM22+AQ22+AU22+AY22+BC22</f>
        <v>5949.9890000000005</v>
      </c>
      <c r="L22" s="56">
        <f>+P22+T22+X22+AB22+AF22+AJ22+AN22+AR22+AV22+AZ22+BD22</f>
        <v>47803.526000000005</v>
      </c>
      <c r="M22" s="114">
        <f t="shared" si="6"/>
        <v>90.382919266401984</v>
      </c>
      <c r="N22" s="56">
        <v>4106</v>
      </c>
      <c r="O22" s="56">
        <v>431.34800000000001</v>
      </c>
      <c r="P22" s="56">
        <v>5240.1109999999999</v>
      </c>
      <c r="Q22" s="114">
        <f t="shared" ref="Q22:Q31" si="34">P22/N22%</f>
        <v>127.62082318558207</v>
      </c>
      <c r="R22" s="56">
        <v>4224</v>
      </c>
      <c r="S22" s="56">
        <v>777.19100000000003</v>
      </c>
      <c r="T22" s="56">
        <v>4475.0050000000001</v>
      </c>
      <c r="U22" s="114">
        <f t="shared" ref="U22:U31" si="35">T22/R22%</f>
        <v>105.94235321969697</v>
      </c>
      <c r="V22" s="56">
        <v>3207</v>
      </c>
      <c r="W22" s="56">
        <v>628.85699999999997</v>
      </c>
      <c r="X22" s="56">
        <v>2724.7080000000001</v>
      </c>
      <c r="Y22" s="114">
        <f t="shared" ref="Y22:Y31" si="36">X22/V22%</f>
        <v>84.961272217025254</v>
      </c>
      <c r="Z22" s="56">
        <v>5892</v>
      </c>
      <c r="AA22" s="56">
        <f>787.525-23.144</f>
        <v>764.38099999999997</v>
      </c>
      <c r="AB22" s="56">
        <f>6289.044-432.74</f>
        <v>5856.3040000000001</v>
      </c>
      <c r="AC22" s="114">
        <f>AB22/Z22%</f>
        <v>99.394161575016966</v>
      </c>
      <c r="AD22" s="56">
        <v>5307</v>
      </c>
      <c r="AE22" s="56">
        <v>550.75400000000002</v>
      </c>
      <c r="AF22" s="56">
        <v>3773.94</v>
      </c>
      <c r="AG22" s="114">
        <f>AF22/AD22%</f>
        <v>71.112492933860935</v>
      </c>
      <c r="AH22" s="56">
        <v>5488</v>
      </c>
      <c r="AI22" s="56">
        <v>382.97800000000001</v>
      </c>
      <c r="AJ22" s="56">
        <f>4568.433-53.88</f>
        <v>4514.5529999999999</v>
      </c>
      <c r="AK22" s="114">
        <f>AJ22/AH22%</f>
        <v>82.262263119533529</v>
      </c>
      <c r="AL22" s="56">
        <v>4948</v>
      </c>
      <c r="AM22" s="56">
        <v>440.774</v>
      </c>
      <c r="AN22" s="56">
        <v>3317.39</v>
      </c>
      <c r="AO22" s="114">
        <f>AN22/AL22%</f>
        <v>67.04506871463218</v>
      </c>
      <c r="AP22" s="56">
        <v>5755</v>
      </c>
      <c r="AQ22" s="56">
        <v>483.69600000000003</v>
      </c>
      <c r="AR22" s="56">
        <f>4313.944-184</f>
        <v>4129.9440000000004</v>
      </c>
      <c r="AS22" s="114">
        <f>AR22/AP22%</f>
        <v>71.762710686359696</v>
      </c>
      <c r="AT22" s="56">
        <v>3709</v>
      </c>
      <c r="AU22" s="56">
        <f>568.857-(-5.62)</f>
        <v>574.47699999999998</v>
      </c>
      <c r="AV22" s="56">
        <f>6459.465-67.993</f>
        <v>6391.4719999999998</v>
      </c>
      <c r="AW22" s="114">
        <f>AV22/AT22%</f>
        <v>172.32332165004041</v>
      </c>
      <c r="AX22" s="56">
        <v>7363</v>
      </c>
      <c r="AY22" s="56">
        <v>717.45600000000002</v>
      </c>
      <c r="AZ22" s="56">
        <v>4387.2920000000004</v>
      </c>
      <c r="BA22" s="114">
        <f>AZ22/AX22%</f>
        <v>59.585658019828884</v>
      </c>
      <c r="BB22" s="56">
        <v>2891</v>
      </c>
      <c r="BC22" s="56">
        <v>198.077</v>
      </c>
      <c r="BD22" s="56">
        <v>2992.8069999999998</v>
      </c>
      <c r="BE22" s="114">
        <f t="shared" si="18"/>
        <v>103.52151504669663</v>
      </c>
    </row>
    <row r="23" spans="1:57" x14ac:dyDescent="0.25">
      <c r="A23" s="127" t="s">
        <v>45</v>
      </c>
      <c r="B23" s="56">
        <v>31728</v>
      </c>
      <c r="C23" s="56">
        <f>1010.823-179.223</f>
        <v>831.59999999999991</v>
      </c>
      <c r="D23" s="56">
        <f>9999.073-1714.674</f>
        <v>8284.3990000000013</v>
      </c>
      <c r="E23" s="114">
        <f t="shared" si="0"/>
        <v>26.110687720625322</v>
      </c>
      <c r="F23" s="56">
        <f t="shared" si="2"/>
        <v>14750</v>
      </c>
      <c r="G23" s="56">
        <f t="shared" si="3"/>
        <v>3.2439999999999145</v>
      </c>
      <c r="H23" s="56">
        <f t="shared" si="4"/>
        <v>1027.0910000000022</v>
      </c>
      <c r="I23" s="114">
        <f t="shared" si="5"/>
        <v>6.963328813559337</v>
      </c>
      <c r="J23" s="56">
        <f>+N23+R23+V23+Z23+AD23+AH23+AL23+AP23+AT23+AX23+BB23</f>
        <v>16978</v>
      </c>
      <c r="K23" s="56">
        <f>+O23+S23+W23+AA23+AE23+AI23+AM23+AQ23+AU23+AY23+BC23</f>
        <v>828.35599999999999</v>
      </c>
      <c r="L23" s="56">
        <f>+P23+T23+X23+AB23+AF23+AJ23+AN23+AR23+AV23+AZ23+BD23</f>
        <v>7257.3079999999991</v>
      </c>
      <c r="M23" s="114">
        <f t="shared" si="6"/>
        <v>42.745364589468721</v>
      </c>
      <c r="N23" s="56">
        <v>1000</v>
      </c>
      <c r="O23" s="56">
        <v>56.161000000000001</v>
      </c>
      <c r="P23" s="56">
        <v>776.298</v>
      </c>
      <c r="Q23" s="114">
        <f t="shared" si="34"/>
        <v>77.629800000000003</v>
      </c>
      <c r="R23" s="56">
        <v>1000</v>
      </c>
      <c r="S23" s="56">
        <v>0</v>
      </c>
      <c r="T23" s="56">
        <v>185.32</v>
      </c>
      <c r="U23" s="114">
        <f t="shared" si="35"/>
        <v>18.532</v>
      </c>
      <c r="V23" s="56">
        <v>2861</v>
      </c>
      <c r="W23" s="56">
        <v>0</v>
      </c>
      <c r="X23" s="56">
        <v>1255.5319999999999</v>
      </c>
      <c r="Y23" s="114">
        <f t="shared" si="36"/>
        <v>43.884376092275424</v>
      </c>
      <c r="Z23" s="56">
        <v>1000</v>
      </c>
      <c r="AA23" s="56"/>
      <c r="AB23" s="56">
        <v>0</v>
      </c>
      <c r="AC23" s="114">
        <f>AB23/Z23%</f>
        <v>0</v>
      </c>
      <c r="AD23" s="56">
        <v>1000</v>
      </c>
      <c r="AE23" s="56">
        <v>21.826000000000001</v>
      </c>
      <c r="AF23" s="56">
        <v>502.38</v>
      </c>
      <c r="AG23" s="114">
        <f>AF23/AD23%</f>
        <v>50.238</v>
      </c>
      <c r="AH23" s="56">
        <v>1000</v>
      </c>
      <c r="AI23" s="56">
        <v>41.031999999999996</v>
      </c>
      <c r="AJ23" s="56">
        <v>806.90099999999995</v>
      </c>
      <c r="AK23" s="114">
        <f>AJ23/AH23%</f>
        <v>80.690100000000001</v>
      </c>
      <c r="AL23" s="56">
        <v>1000</v>
      </c>
      <c r="AM23" s="56">
        <v>0</v>
      </c>
      <c r="AN23" s="56">
        <v>98.778000000000006</v>
      </c>
      <c r="AO23" s="114">
        <f>AN23/AL23%</f>
        <v>9.8778000000000006</v>
      </c>
      <c r="AP23" s="56">
        <v>1000</v>
      </c>
      <c r="AQ23" s="56">
        <v>116.533</v>
      </c>
      <c r="AR23" s="56">
        <v>387.81900000000002</v>
      </c>
      <c r="AS23" s="114">
        <f>AR23/AP23%</f>
        <v>38.7819</v>
      </c>
      <c r="AT23" s="56">
        <v>3355</v>
      </c>
      <c r="AU23" s="56">
        <v>65.44</v>
      </c>
      <c r="AV23" s="56">
        <v>367.38900000000001</v>
      </c>
      <c r="AW23" s="114">
        <f>AV23/AT23%</f>
        <v>10.950491803278689</v>
      </c>
      <c r="AX23" s="56">
        <v>1050</v>
      </c>
      <c r="AY23" s="56">
        <v>62.44</v>
      </c>
      <c r="AZ23" s="56">
        <v>379.42700000000002</v>
      </c>
      <c r="BA23" s="114">
        <f>AZ23/AX23%</f>
        <v>36.135904761904762</v>
      </c>
      <c r="BB23" s="56">
        <v>2712</v>
      </c>
      <c r="BC23" s="56">
        <v>464.92399999999998</v>
      </c>
      <c r="BD23" s="56">
        <v>2497.4639999999999</v>
      </c>
      <c r="BE23" s="114">
        <f t="shared" si="18"/>
        <v>92.089380530973443</v>
      </c>
    </row>
    <row r="24" spans="1:57" x14ac:dyDescent="0.25">
      <c r="A24" s="127" t="s">
        <v>21</v>
      </c>
      <c r="B24" s="56">
        <v>126269</v>
      </c>
      <c r="C24" s="56">
        <f>8032.733-157.77</f>
        <v>7874.9629999999997</v>
      </c>
      <c r="D24" s="56">
        <f>74138.666-2462.645</f>
        <v>71676.020999999993</v>
      </c>
      <c r="E24" s="114">
        <f t="shared" si="0"/>
        <v>56.764543157861382</v>
      </c>
      <c r="F24" s="56">
        <f t="shared" si="2"/>
        <v>115019</v>
      </c>
      <c r="G24" s="56">
        <f t="shared" si="3"/>
        <v>7203.509</v>
      </c>
      <c r="H24" s="56">
        <f t="shared" si="4"/>
        <v>66443.131999999998</v>
      </c>
      <c r="I24" s="114">
        <f t="shared" si="5"/>
        <v>57.767092393430644</v>
      </c>
      <c r="J24" s="56">
        <f>+N24+R24+V24+Z24+AD24+AH24+AL24+AP24+AT24+AX24+BB24</f>
        <v>11250</v>
      </c>
      <c r="K24" s="56">
        <f>+O24+S24+W24+AA24+AE24+AI24+AM24+AQ24+AU24+AY24+BC24</f>
        <v>671.45400000000006</v>
      </c>
      <c r="L24" s="56">
        <f>+P24+T24+X24+AB24+AF24+AJ24+AN24+AR24+AV24+AZ24+BD24</f>
        <v>5232.8890000000001</v>
      </c>
      <c r="M24" s="114">
        <f t="shared" si="6"/>
        <v>46.514568888888888</v>
      </c>
      <c r="N24" s="56">
        <v>1000</v>
      </c>
      <c r="O24" s="56">
        <v>198.465</v>
      </c>
      <c r="P24" s="56">
        <v>457.48500000000001</v>
      </c>
      <c r="Q24" s="114">
        <f t="shared" si="34"/>
        <v>45.7485</v>
      </c>
      <c r="R24" s="56">
        <v>1050</v>
      </c>
      <c r="S24" s="56">
        <v>116.715</v>
      </c>
      <c r="T24" s="56">
        <v>595.005</v>
      </c>
      <c r="U24" s="114">
        <f t="shared" si="35"/>
        <v>56.667142857142856</v>
      </c>
      <c r="V24" s="56">
        <v>1050</v>
      </c>
      <c r="W24" s="56">
        <v>16.23</v>
      </c>
      <c r="X24" s="56">
        <v>560.98199999999997</v>
      </c>
      <c r="Y24" s="114">
        <f t="shared" si="36"/>
        <v>53.426857142857138</v>
      </c>
      <c r="Z24" s="56">
        <v>1000</v>
      </c>
      <c r="AA24" s="56"/>
      <c r="AB24" s="56">
        <v>0</v>
      </c>
      <c r="AC24" s="114">
        <f>AB24/Z24%</f>
        <v>0</v>
      </c>
      <c r="AD24" s="56">
        <v>1000</v>
      </c>
      <c r="AE24" s="56">
        <v>89.066000000000003</v>
      </c>
      <c r="AF24" s="56">
        <v>846.91700000000003</v>
      </c>
      <c r="AG24" s="114">
        <f>AF24/AD24%</f>
        <v>84.691699999999997</v>
      </c>
      <c r="AH24" s="56">
        <v>1000</v>
      </c>
      <c r="AI24" s="56">
        <v>54.732999999999997</v>
      </c>
      <c r="AJ24" s="56">
        <v>728.06100000000004</v>
      </c>
      <c r="AK24" s="114">
        <f>AJ24/AH24%</f>
        <v>72.806100000000001</v>
      </c>
      <c r="AL24" s="56">
        <v>1000</v>
      </c>
      <c r="AM24" s="56"/>
      <c r="AN24" s="56">
        <v>427.60199999999998</v>
      </c>
      <c r="AO24" s="114">
        <f>AN24/AL24%</f>
        <v>42.760199999999998</v>
      </c>
      <c r="AP24" s="56">
        <v>1000</v>
      </c>
      <c r="AQ24" s="56">
        <v>14.856</v>
      </c>
      <c r="AR24" s="56">
        <v>351.69</v>
      </c>
      <c r="AS24" s="114">
        <f>AR24/AP24%</f>
        <v>35.168999999999997</v>
      </c>
      <c r="AT24" s="56">
        <v>1050</v>
      </c>
      <c r="AU24" s="56">
        <v>35.4</v>
      </c>
      <c r="AV24" s="56">
        <v>551.14200000000005</v>
      </c>
      <c r="AW24" s="114">
        <f>AV24/AT24%</f>
        <v>52.489714285714292</v>
      </c>
      <c r="AX24" s="56">
        <v>1050</v>
      </c>
      <c r="AY24" s="56">
        <v>145.989</v>
      </c>
      <c r="AZ24" s="56">
        <v>714.005</v>
      </c>
      <c r="BA24" s="114">
        <f>AZ24/AX24%</f>
        <v>68.000476190476192</v>
      </c>
      <c r="BB24" s="56">
        <v>1050</v>
      </c>
      <c r="BC24" s="56"/>
      <c r="BD24" s="56">
        <v>0</v>
      </c>
      <c r="BE24" s="114">
        <f t="shared" si="18"/>
        <v>0</v>
      </c>
    </row>
    <row r="25" spans="1:57" x14ac:dyDescent="0.25">
      <c r="A25" s="127" t="s">
        <v>22</v>
      </c>
      <c r="B25" s="56">
        <v>840188</v>
      </c>
      <c r="C25" s="56">
        <f>92264.338-642.581-25.556</f>
        <v>91596.201000000001</v>
      </c>
      <c r="D25" s="56">
        <f>637947.573-7889.163-1072.036</f>
        <v>628986.37400000007</v>
      </c>
      <c r="E25" s="114">
        <f t="shared" si="0"/>
        <v>74.862575280770514</v>
      </c>
      <c r="F25" s="56">
        <f t="shared" si="2"/>
        <v>111401</v>
      </c>
      <c r="G25" s="56">
        <f t="shared" si="3"/>
        <v>10819.82699999999</v>
      </c>
      <c r="H25" s="56">
        <f t="shared" si="4"/>
        <v>59772.458000000101</v>
      </c>
      <c r="I25" s="114">
        <f t="shared" si="5"/>
        <v>53.65522571610677</v>
      </c>
      <c r="J25" s="56">
        <f>+N25+R25+V25+Z25+AD25+AH25+AL25+AP25+AT25+AX25+BB25</f>
        <v>728787</v>
      </c>
      <c r="K25" s="56">
        <f>+O25+S25+W25+AA25+AE25+AI25+AM25+AQ25+AU25+AY25+BC25</f>
        <v>80776.374000000011</v>
      </c>
      <c r="L25" s="56">
        <f>+P25+T25+X25+AB25+AF25+AJ25+AN25+AR25+AV25+AZ25+BD25</f>
        <v>569213.91599999997</v>
      </c>
      <c r="M25" s="114">
        <f t="shared" si="6"/>
        <v>78.104290554030186</v>
      </c>
      <c r="N25" s="56">
        <v>66050</v>
      </c>
      <c r="O25" s="56">
        <v>10397.93</v>
      </c>
      <c r="P25" s="56">
        <v>64625.398000000001</v>
      </c>
      <c r="Q25" s="114">
        <f t="shared" si="34"/>
        <v>97.843146101438307</v>
      </c>
      <c r="R25" s="56">
        <v>45752</v>
      </c>
      <c r="S25" s="56">
        <v>4400.8980000000001</v>
      </c>
      <c r="T25" s="56">
        <f>28806.206-101.459</f>
        <v>28704.746999999999</v>
      </c>
      <c r="U25" s="114">
        <f t="shared" si="35"/>
        <v>62.739873666724954</v>
      </c>
      <c r="V25" s="56">
        <v>77209</v>
      </c>
      <c r="W25" s="56">
        <v>7804.3339999999998</v>
      </c>
      <c r="X25" s="56">
        <v>58150.093000000001</v>
      </c>
      <c r="Y25" s="114">
        <f t="shared" si="36"/>
        <v>75.315174396767219</v>
      </c>
      <c r="Z25" s="56">
        <v>97085</v>
      </c>
      <c r="AA25" s="56">
        <v>13261.924999999999</v>
      </c>
      <c r="AB25" s="56">
        <v>82018.97</v>
      </c>
      <c r="AC25" s="114">
        <f>AB25/Z25%</f>
        <v>84.481608899418035</v>
      </c>
      <c r="AD25" s="56">
        <v>66976</v>
      </c>
      <c r="AE25" s="56">
        <f>8547.062-(-0.247)</f>
        <v>8547.3089999999993</v>
      </c>
      <c r="AF25" s="56">
        <f>52444.422-931.577</f>
        <v>51512.845000000001</v>
      </c>
      <c r="AG25" s="114">
        <f>AF25/AD25%</f>
        <v>76.912393991877693</v>
      </c>
      <c r="AH25" s="56">
        <v>86554</v>
      </c>
      <c r="AI25" s="56">
        <v>11302.181</v>
      </c>
      <c r="AJ25" s="56">
        <v>67973.763000000006</v>
      </c>
      <c r="AK25" s="114">
        <f>AJ25/AH25%</f>
        <v>78.533358365875642</v>
      </c>
      <c r="AL25" s="56">
        <v>61657</v>
      </c>
      <c r="AM25" s="56">
        <v>9339.8909999999996</v>
      </c>
      <c r="AN25" s="56">
        <v>53844.692999999999</v>
      </c>
      <c r="AO25" s="114">
        <f>AN25/AL25%</f>
        <v>87.329407853122916</v>
      </c>
      <c r="AP25" s="56">
        <v>56230</v>
      </c>
      <c r="AQ25" s="56">
        <f>4011.39-25.83</f>
        <v>3985.56</v>
      </c>
      <c r="AR25" s="56">
        <f>42596.515-39</f>
        <v>42557.514999999999</v>
      </c>
      <c r="AS25" s="114">
        <f>AR25/AP25%</f>
        <v>75.684714565178737</v>
      </c>
      <c r="AT25" s="56">
        <v>55307</v>
      </c>
      <c r="AU25" s="56">
        <v>6809.2659999999996</v>
      </c>
      <c r="AV25" s="56">
        <v>44569.726000000002</v>
      </c>
      <c r="AW25" s="114">
        <f>AV25/AT25%</f>
        <v>80.586048782251794</v>
      </c>
      <c r="AX25" s="56">
        <v>52512</v>
      </c>
      <c r="AY25" s="56">
        <v>4917.2</v>
      </c>
      <c r="AZ25" s="56">
        <v>37523.536</v>
      </c>
      <c r="BA25" s="114">
        <f>AZ25/AX25%</f>
        <v>71.457068860450946</v>
      </c>
      <c r="BB25" s="56">
        <v>63455</v>
      </c>
      <c r="BC25" s="56">
        <v>9.8800000000000008</v>
      </c>
      <c r="BD25" s="56">
        <v>37732.629999999997</v>
      </c>
      <c r="BE25" s="114">
        <f t="shared" si="18"/>
        <v>59.463604128910255</v>
      </c>
    </row>
    <row r="26" spans="1:57" s="92" customFormat="1" hidden="1" x14ac:dyDescent="0.25">
      <c r="A26" s="127" t="s">
        <v>23</v>
      </c>
      <c r="B26" s="56">
        <v>86134</v>
      </c>
      <c r="C26" s="56"/>
      <c r="D26" s="56">
        <v>0</v>
      </c>
      <c r="E26" s="91">
        <f t="shared" si="0"/>
        <v>0</v>
      </c>
      <c r="F26" s="56">
        <f t="shared" si="2"/>
        <v>86134</v>
      </c>
      <c r="G26" s="56">
        <f t="shared" si="3"/>
        <v>0</v>
      </c>
      <c r="H26" s="56">
        <f t="shared" si="4"/>
        <v>0</v>
      </c>
      <c r="I26" s="114">
        <f t="shared" si="5"/>
        <v>0</v>
      </c>
      <c r="J26" s="56">
        <f>+N26+R26+V26+Z26+AD26+AH26+AL26+AP26+AT26+AX26+BB26</f>
        <v>0</v>
      </c>
      <c r="K26" s="56">
        <f>+O26+S26+W26+AA26+AE26+AI26+AM26+AQ26+AU26+AY26+BC26</f>
        <v>0</v>
      </c>
      <c r="L26" s="56">
        <f>+P26+T26+X26+AB26+AF26+AJ26+AN26+AR26+AV26+AZ26+BD26</f>
        <v>0</v>
      </c>
      <c r="M26" s="91" t="e">
        <f t="shared" si="6"/>
        <v>#DIV/0!</v>
      </c>
      <c r="N26" s="56">
        <v>0</v>
      </c>
      <c r="O26" s="56"/>
      <c r="P26" s="56"/>
      <c r="Q26" s="91" t="e">
        <f t="shared" si="34"/>
        <v>#DIV/0!</v>
      </c>
      <c r="R26" s="56">
        <v>0</v>
      </c>
      <c r="S26" s="56"/>
      <c r="T26" s="56"/>
      <c r="U26" s="91" t="e">
        <f t="shared" si="35"/>
        <v>#DIV/0!</v>
      </c>
      <c r="V26" s="56">
        <v>0</v>
      </c>
      <c r="W26" s="56"/>
      <c r="X26" s="56"/>
      <c r="Y26" s="91" t="e">
        <f t="shared" si="36"/>
        <v>#DIV/0!</v>
      </c>
      <c r="Z26" s="56">
        <v>0</v>
      </c>
      <c r="AA26" s="56"/>
      <c r="AB26" s="56"/>
      <c r="AC26" s="91" t="e">
        <f>AB26/Z26%</f>
        <v>#DIV/0!</v>
      </c>
      <c r="AD26" s="56">
        <v>0</v>
      </c>
      <c r="AE26" s="56"/>
      <c r="AF26" s="56"/>
      <c r="AG26" s="91" t="e">
        <f>AF26/AD26%</f>
        <v>#DIV/0!</v>
      </c>
      <c r="AH26" s="56">
        <v>0</v>
      </c>
      <c r="AI26" s="56"/>
      <c r="AJ26" s="56"/>
      <c r="AK26" s="91" t="e">
        <f>AJ26/AH26%</f>
        <v>#DIV/0!</v>
      </c>
      <c r="AL26" s="56">
        <v>0</v>
      </c>
      <c r="AM26" s="56"/>
      <c r="AN26" s="56"/>
      <c r="AO26" s="91" t="e">
        <f>AN26/AL26%</f>
        <v>#DIV/0!</v>
      </c>
      <c r="AP26" s="56">
        <v>0</v>
      </c>
      <c r="AQ26" s="56"/>
      <c r="AR26" s="56"/>
      <c r="AS26" s="91" t="e">
        <f>AR26/AP26%</f>
        <v>#DIV/0!</v>
      </c>
      <c r="AT26" s="56">
        <v>0</v>
      </c>
      <c r="AU26" s="56"/>
      <c r="AV26" s="56"/>
      <c r="AW26" s="91" t="e">
        <f>AV26/AT26%</f>
        <v>#DIV/0!</v>
      </c>
      <c r="AX26" s="56">
        <v>0</v>
      </c>
      <c r="AY26" s="56"/>
      <c r="AZ26" s="56"/>
      <c r="BA26" s="91" t="e">
        <f>AZ26/AX26%</f>
        <v>#DIV/0!</v>
      </c>
      <c r="BB26" s="56">
        <v>0</v>
      </c>
      <c r="BC26" s="56"/>
      <c r="BD26" s="56"/>
      <c r="BE26" s="91" t="e">
        <f t="shared" si="18"/>
        <v>#DIV/0!</v>
      </c>
    </row>
    <row r="27" spans="1:57" x14ac:dyDescent="0.25">
      <c r="A27" s="126" t="s">
        <v>29</v>
      </c>
      <c r="B27" s="53">
        <f>SUM(B28:B31)</f>
        <v>853826</v>
      </c>
      <c r="C27" s="53">
        <f>169901.046-92792.179-1416.68</f>
        <v>75692.187000000005</v>
      </c>
      <c r="D27" s="53">
        <f>1299989.766-676979.009-11623.825</f>
        <v>611386.93200000015</v>
      </c>
      <c r="E27" s="91">
        <f t="shared" si="0"/>
        <v>71.60556506829262</v>
      </c>
      <c r="F27" s="53">
        <f t="shared" si="2"/>
        <v>428193</v>
      </c>
      <c r="G27" s="53">
        <f t="shared" si="3"/>
        <v>31392.133000000002</v>
      </c>
      <c r="H27" s="53">
        <f t="shared" si="4"/>
        <v>257706.69800000009</v>
      </c>
      <c r="I27" s="91">
        <f t="shared" si="5"/>
        <v>60.18470596203116</v>
      </c>
      <c r="J27" s="53">
        <f>+N27+R27+V27+Z27+AD27+AH27+AL27+AP27+AT27+AX27+BB27</f>
        <v>425633</v>
      </c>
      <c r="K27" s="53">
        <f>+O27+S27+W27+AA27+AE27+AI27+AM27+AQ27+AU27+AY27+BC27</f>
        <v>44300.054000000004</v>
      </c>
      <c r="L27" s="53">
        <f>+P27+T27+X27+AB27+AF27+AJ27+AN27+AR27+AV27+AZ27+BD27</f>
        <v>353680.23400000005</v>
      </c>
      <c r="M27" s="91">
        <f t="shared" si="6"/>
        <v>83.095115745254731</v>
      </c>
      <c r="N27" s="53">
        <f>SUM(N28:N31)</f>
        <v>38708</v>
      </c>
      <c r="O27" s="53">
        <v>2647.3150000000001</v>
      </c>
      <c r="P27" s="53">
        <v>27504.294999999998</v>
      </c>
      <c r="Q27" s="91">
        <f t="shared" si="34"/>
        <v>71.055841169784017</v>
      </c>
      <c r="R27" s="53">
        <f>SUM(R28:R31)</f>
        <v>36745</v>
      </c>
      <c r="S27" s="53">
        <v>4100.7529999999997</v>
      </c>
      <c r="T27" s="53">
        <v>27908.870999999999</v>
      </c>
      <c r="U27" s="91">
        <f t="shared" si="35"/>
        <v>75.952839842155399</v>
      </c>
      <c r="V27" s="53">
        <f>SUM(V28:V31)</f>
        <v>37258</v>
      </c>
      <c r="W27" s="53">
        <v>3369.6640000000002</v>
      </c>
      <c r="X27" s="53">
        <f>22249.751-600.107</f>
        <v>21649.644</v>
      </c>
      <c r="Y27" s="91">
        <f t="shared" si="36"/>
        <v>58.10737022921252</v>
      </c>
      <c r="Z27" s="53">
        <f>SUM(Z28:Z31)</f>
        <v>39992</v>
      </c>
      <c r="AA27" s="53">
        <v>3568.1410000000001</v>
      </c>
      <c r="AB27" s="53">
        <v>27724.789000000001</v>
      </c>
      <c r="AC27" s="91">
        <f>AB27/Z27%</f>
        <v>69.325837667533506</v>
      </c>
      <c r="AD27" s="53">
        <f>SUM(AD28:AD31)</f>
        <v>37924</v>
      </c>
      <c r="AE27" s="53">
        <f>6001.203-136.854</f>
        <v>5864.3490000000002</v>
      </c>
      <c r="AF27" s="53">
        <f>42176.968-1722.136</f>
        <v>40454.832000000002</v>
      </c>
      <c r="AG27" s="91">
        <f>AF27/AD27%</f>
        <v>106.67343107267166</v>
      </c>
      <c r="AH27" s="53">
        <f>SUM(AH28:AH31)</f>
        <v>34385</v>
      </c>
      <c r="AI27" s="53">
        <v>3911.3530000000001</v>
      </c>
      <c r="AJ27" s="53">
        <v>27531.507000000001</v>
      </c>
      <c r="AK27" s="91">
        <f>AJ27/AH27%</f>
        <v>80.068364112258251</v>
      </c>
      <c r="AL27" s="53">
        <f>SUM(AL28:AL31)</f>
        <v>46340</v>
      </c>
      <c r="AM27" s="53">
        <f>3579.271-314.18</f>
        <v>3265.0910000000003</v>
      </c>
      <c r="AN27" s="53">
        <f>36329.047-349.58</f>
        <v>35979.466999999997</v>
      </c>
      <c r="AO27" s="91">
        <f>AN27/AL27%</f>
        <v>77.642354337505395</v>
      </c>
      <c r="AP27" s="53">
        <f>SUM(AP28:AP31)</f>
        <v>39766</v>
      </c>
      <c r="AQ27" s="53">
        <v>3742.6109999999999</v>
      </c>
      <c r="AR27" s="53">
        <v>30323.392</v>
      </c>
      <c r="AS27" s="91">
        <f>AR27/AP27%</f>
        <v>76.254569229995468</v>
      </c>
      <c r="AT27" s="53">
        <f>SUM(AT28:AT31)</f>
        <v>38235</v>
      </c>
      <c r="AU27" s="53">
        <v>4264.049</v>
      </c>
      <c r="AV27" s="53">
        <v>32331.280999999999</v>
      </c>
      <c r="AW27" s="91">
        <f>AV27/AT27%</f>
        <v>84.55938537988753</v>
      </c>
      <c r="AX27" s="53">
        <f>SUM(AX28:AX31)</f>
        <v>38912</v>
      </c>
      <c r="AY27" s="53">
        <f>5999.951-472.595</f>
        <v>5527.3559999999998</v>
      </c>
      <c r="AZ27" s="53">
        <f>50340.831-2317.473</f>
        <v>48023.358</v>
      </c>
      <c r="BA27" s="91">
        <f>AZ27/AX27%</f>
        <v>123.41529091282895</v>
      </c>
      <c r="BB27" s="53">
        <f>SUM(BB28:BB31)</f>
        <v>37368</v>
      </c>
      <c r="BC27" s="53">
        <f>4532.421-493.049</f>
        <v>4039.3720000000003</v>
      </c>
      <c r="BD27" s="53">
        <f>40883.325-6634.527</f>
        <v>34248.797999999995</v>
      </c>
      <c r="BE27" s="91">
        <f t="shared" si="18"/>
        <v>91.652745664739868</v>
      </c>
    </row>
    <row r="28" spans="1:57" hidden="1" x14ac:dyDescent="0.25">
      <c r="A28" s="127" t="s">
        <v>46</v>
      </c>
      <c r="B28" s="56">
        <v>484390</v>
      </c>
      <c r="C28" s="56"/>
      <c r="D28" s="56"/>
      <c r="E28" s="114">
        <f t="shared" si="0"/>
        <v>0</v>
      </c>
      <c r="F28" s="56">
        <f t="shared" si="2"/>
        <v>261261</v>
      </c>
      <c r="G28" s="56">
        <f t="shared" si="3"/>
        <v>0</v>
      </c>
      <c r="H28" s="56">
        <f t="shared" si="4"/>
        <v>0</v>
      </c>
      <c r="I28" s="114"/>
      <c r="J28" s="56">
        <f>+N28+R28+V28+Z28+AD28+AH28+AL28+AP28+AT28+AX28+BB28</f>
        <v>223129</v>
      </c>
      <c r="K28" s="56">
        <f>+O28+S28+W28+AA28+AE28+AI28+AM28+AQ28+AU28+AY28+BC28</f>
        <v>0</v>
      </c>
      <c r="L28" s="56">
        <f>+P28+T28+X28+AB28+AF28+AJ28+AN28+AR28+AV28+AZ28+BD28</f>
        <v>0</v>
      </c>
      <c r="M28" s="91">
        <f t="shared" si="6"/>
        <v>0</v>
      </c>
      <c r="N28" s="56">
        <v>22225</v>
      </c>
      <c r="O28" s="56"/>
      <c r="P28" s="56"/>
      <c r="Q28" s="91">
        <f t="shared" si="34"/>
        <v>0</v>
      </c>
      <c r="R28" s="56">
        <v>19126</v>
      </c>
      <c r="S28" s="56"/>
      <c r="T28" s="56"/>
      <c r="U28" s="91">
        <f t="shared" si="35"/>
        <v>0</v>
      </c>
      <c r="V28" s="56">
        <v>22768</v>
      </c>
      <c r="W28" s="56"/>
      <c r="X28" s="56"/>
      <c r="Y28" s="91">
        <f t="shared" si="36"/>
        <v>0</v>
      </c>
      <c r="Z28" s="56">
        <v>20676</v>
      </c>
      <c r="AA28" s="56"/>
      <c r="AB28" s="56"/>
      <c r="AC28" s="91">
        <f>AB28/Z28%</f>
        <v>0</v>
      </c>
      <c r="AD28" s="56">
        <v>18792</v>
      </c>
      <c r="AE28" s="56"/>
      <c r="AF28" s="56"/>
      <c r="AG28" s="91">
        <f>AF28/AD28%</f>
        <v>0</v>
      </c>
      <c r="AH28" s="56">
        <v>17859</v>
      </c>
      <c r="AI28" s="56"/>
      <c r="AJ28" s="56"/>
      <c r="AK28" s="91">
        <f>AJ28/AH28%</f>
        <v>0</v>
      </c>
      <c r="AL28" s="56">
        <v>23599</v>
      </c>
      <c r="AM28" s="56"/>
      <c r="AN28" s="56"/>
      <c r="AO28" s="91">
        <f>AN28/AL28%</f>
        <v>0</v>
      </c>
      <c r="AP28" s="56">
        <v>22130</v>
      </c>
      <c r="AQ28" s="56"/>
      <c r="AR28" s="56"/>
      <c r="AS28" s="91">
        <f>AR28/AP28%</f>
        <v>0</v>
      </c>
      <c r="AT28" s="56">
        <v>18707</v>
      </c>
      <c r="AU28" s="56"/>
      <c r="AV28" s="56"/>
      <c r="AW28" s="91">
        <f>AV28/AT28%</f>
        <v>0</v>
      </c>
      <c r="AX28" s="56">
        <v>18994</v>
      </c>
      <c r="AY28" s="56"/>
      <c r="AZ28" s="56"/>
      <c r="BA28" s="91">
        <f>AZ28/AX28%</f>
        <v>0</v>
      </c>
      <c r="BB28" s="56">
        <v>18253</v>
      </c>
      <c r="BC28" s="56"/>
      <c r="BD28" s="56"/>
      <c r="BE28" s="91">
        <f t="shared" si="18"/>
        <v>0</v>
      </c>
    </row>
    <row r="29" spans="1:57" hidden="1" x14ac:dyDescent="0.25">
      <c r="A29" s="127" t="s">
        <v>47</v>
      </c>
      <c r="B29" s="56">
        <v>153803</v>
      </c>
      <c r="C29" s="56"/>
      <c r="D29" s="56"/>
      <c r="E29" s="114">
        <f t="shared" si="0"/>
        <v>0</v>
      </c>
      <c r="F29" s="56">
        <f t="shared" si="2"/>
        <v>65500</v>
      </c>
      <c r="G29" s="56">
        <f t="shared" si="3"/>
        <v>0</v>
      </c>
      <c r="H29" s="56">
        <f t="shared" si="4"/>
        <v>0</v>
      </c>
      <c r="I29" s="114"/>
      <c r="J29" s="56">
        <f>+N29+R29+V29+Z29+AD29+AH29+AL29+AP29+AT29+AX29+BB29</f>
        <v>88303</v>
      </c>
      <c r="K29" s="56">
        <f>+O29+S29+W29+AA29+AE29+AI29+AM29+AQ29+AU29+AY29+BC29</f>
        <v>0</v>
      </c>
      <c r="L29" s="56">
        <f>+P29+T29+X29+AB29+AF29+AJ29+AN29+AR29+AV29+AZ29+BD29</f>
        <v>0</v>
      </c>
      <c r="M29" s="91">
        <f t="shared" si="6"/>
        <v>0</v>
      </c>
      <c r="N29" s="56">
        <v>8210</v>
      </c>
      <c r="O29" s="56"/>
      <c r="P29" s="56"/>
      <c r="Q29" s="91">
        <f t="shared" si="34"/>
        <v>0</v>
      </c>
      <c r="R29" s="56">
        <v>8544</v>
      </c>
      <c r="S29" s="56"/>
      <c r="T29" s="56"/>
      <c r="U29" s="91">
        <f t="shared" si="35"/>
        <v>0</v>
      </c>
      <c r="V29" s="56">
        <v>7835</v>
      </c>
      <c r="W29" s="56"/>
      <c r="X29" s="56"/>
      <c r="Y29" s="91">
        <f t="shared" si="36"/>
        <v>0</v>
      </c>
      <c r="Z29" s="56">
        <v>7068</v>
      </c>
      <c r="AA29" s="56"/>
      <c r="AB29" s="56"/>
      <c r="AC29" s="91">
        <f>AB29/Z29%</f>
        <v>0</v>
      </c>
      <c r="AD29" s="56">
        <v>7699</v>
      </c>
      <c r="AE29" s="56"/>
      <c r="AF29" s="56"/>
      <c r="AG29" s="91">
        <f>AF29/AD29%</f>
        <v>0</v>
      </c>
      <c r="AH29" s="56">
        <v>7606</v>
      </c>
      <c r="AI29" s="56"/>
      <c r="AJ29" s="56"/>
      <c r="AK29" s="91">
        <f>AJ29/AH29%</f>
        <v>0</v>
      </c>
      <c r="AL29" s="56">
        <v>8873</v>
      </c>
      <c r="AM29" s="56"/>
      <c r="AN29" s="56"/>
      <c r="AO29" s="91">
        <f>AN29/AL29%</f>
        <v>0</v>
      </c>
      <c r="AP29" s="56">
        <v>7541</v>
      </c>
      <c r="AQ29" s="56"/>
      <c r="AR29" s="56"/>
      <c r="AS29" s="91">
        <f>AR29/AP29%</f>
        <v>0</v>
      </c>
      <c r="AT29" s="56">
        <v>9132</v>
      </c>
      <c r="AU29" s="56"/>
      <c r="AV29" s="56"/>
      <c r="AW29" s="91">
        <f>AV29/AT29%</f>
        <v>0</v>
      </c>
      <c r="AX29" s="56">
        <v>8230</v>
      </c>
      <c r="AY29" s="56"/>
      <c r="AZ29" s="56"/>
      <c r="BA29" s="91">
        <f>AZ29/AX29%</f>
        <v>0</v>
      </c>
      <c r="BB29" s="56">
        <v>7565</v>
      </c>
      <c r="BC29" s="56"/>
      <c r="BD29" s="56"/>
      <c r="BE29" s="91">
        <f t="shared" si="18"/>
        <v>0</v>
      </c>
    </row>
    <row r="30" spans="1:57" hidden="1" x14ac:dyDescent="0.25">
      <c r="A30" s="127" t="s">
        <v>48</v>
      </c>
      <c r="B30" s="56">
        <v>117520</v>
      </c>
      <c r="C30" s="56"/>
      <c r="D30" s="56"/>
      <c r="E30" s="114"/>
      <c r="F30" s="56">
        <f t="shared" si="2"/>
        <v>55742</v>
      </c>
      <c r="G30" s="56">
        <f t="shared" si="3"/>
        <v>0</v>
      </c>
      <c r="H30" s="56">
        <f t="shared" si="4"/>
        <v>0</v>
      </c>
      <c r="I30" s="114"/>
      <c r="J30" s="56">
        <f>+N30+R30+V30+Z30+AD30+AH30+AL30+AP30+AT30+AX30+BB30</f>
        <v>61778</v>
      </c>
      <c r="K30" s="56">
        <f>+O30+S30+W30+AA30+AE30+AI30+AM30+AQ30+AU30+AY30+BC30</f>
        <v>0</v>
      </c>
      <c r="L30" s="56">
        <f>+P30+T30+X30+AB30+AF30+AJ30+AN30+AR30+AV30+AZ30+BD30</f>
        <v>0</v>
      </c>
      <c r="M30" s="91">
        <f t="shared" si="6"/>
        <v>0</v>
      </c>
      <c r="N30" s="56">
        <v>4624</v>
      </c>
      <c r="O30" s="56"/>
      <c r="P30" s="56"/>
      <c r="Q30" s="91">
        <f t="shared" si="34"/>
        <v>0</v>
      </c>
      <c r="R30" s="56">
        <v>5175</v>
      </c>
      <c r="S30" s="56"/>
      <c r="T30" s="56"/>
      <c r="U30" s="91">
        <f t="shared" si="35"/>
        <v>0</v>
      </c>
      <c r="V30" s="56">
        <v>5155</v>
      </c>
      <c r="W30" s="56"/>
      <c r="X30" s="56"/>
      <c r="Y30" s="91">
        <f t="shared" si="36"/>
        <v>0</v>
      </c>
      <c r="Z30" s="56">
        <v>6174</v>
      </c>
      <c r="AA30" s="56"/>
      <c r="AB30" s="56"/>
      <c r="AC30" s="91">
        <f>AB30/Z30%</f>
        <v>0</v>
      </c>
      <c r="AD30" s="56">
        <v>5633</v>
      </c>
      <c r="AE30" s="56"/>
      <c r="AF30" s="56"/>
      <c r="AG30" s="91">
        <f>AF30/AD30%</f>
        <v>0</v>
      </c>
      <c r="AH30" s="56">
        <v>5270</v>
      </c>
      <c r="AI30" s="56"/>
      <c r="AJ30" s="56"/>
      <c r="AK30" s="91">
        <f>AJ30/AH30%</f>
        <v>0</v>
      </c>
      <c r="AL30" s="56">
        <v>6668</v>
      </c>
      <c r="AM30" s="56"/>
      <c r="AN30" s="56"/>
      <c r="AO30" s="91">
        <f>AN30/AL30%</f>
        <v>0</v>
      </c>
      <c r="AP30" s="56">
        <v>5095</v>
      </c>
      <c r="AQ30" s="56"/>
      <c r="AR30" s="56"/>
      <c r="AS30" s="91">
        <f>AR30/AP30%</f>
        <v>0</v>
      </c>
      <c r="AT30" s="56">
        <v>5996</v>
      </c>
      <c r="AU30" s="56"/>
      <c r="AV30" s="56"/>
      <c r="AW30" s="91">
        <f>AV30/AT30%</f>
        <v>0</v>
      </c>
      <c r="AX30" s="56">
        <v>6188</v>
      </c>
      <c r="AY30" s="56"/>
      <c r="AZ30" s="56"/>
      <c r="BA30" s="91">
        <f>AZ30/AX30%</f>
        <v>0</v>
      </c>
      <c r="BB30" s="56">
        <v>5800</v>
      </c>
      <c r="BC30" s="56"/>
      <c r="BD30" s="56"/>
      <c r="BE30" s="91">
        <f t="shared" si="18"/>
        <v>0</v>
      </c>
    </row>
    <row r="31" spans="1:57" s="92" customFormat="1" hidden="1" x14ac:dyDescent="0.25">
      <c r="A31" s="127" t="s">
        <v>49</v>
      </c>
      <c r="B31" s="56">
        <v>98113</v>
      </c>
      <c r="C31" s="56"/>
      <c r="D31" s="56"/>
      <c r="E31" s="91">
        <f>D31/B31%</f>
        <v>0</v>
      </c>
      <c r="F31" s="56">
        <f t="shared" si="2"/>
        <v>45690</v>
      </c>
      <c r="G31" s="56">
        <f t="shared" si="3"/>
        <v>0</v>
      </c>
      <c r="H31" s="56">
        <f t="shared" si="4"/>
        <v>0</v>
      </c>
      <c r="I31" s="91">
        <f t="shared" si="5"/>
        <v>0</v>
      </c>
      <c r="J31" s="56">
        <f>+N31+R31+V31+Z31+AD31+AH31+AL31+AP31+AT31+AX31+BB31</f>
        <v>52423</v>
      </c>
      <c r="K31" s="56">
        <f>+O31+S31+W31+AA31+AE31+AI31+AM31+AQ31+AU31+AY31+BC31</f>
        <v>0</v>
      </c>
      <c r="L31" s="56">
        <f>+P31+T31+X31+AB31+AF31+AJ31+AN31+AR31+AV31+AZ31+BD31</f>
        <v>0</v>
      </c>
      <c r="M31" s="91">
        <f t="shared" si="6"/>
        <v>0</v>
      </c>
      <c r="N31" s="56">
        <v>3649</v>
      </c>
      <c r="O31" s="56"/>
      <c r="P31" s="56"/>
      <c r="Q31" s="91">
        <f t="shared" si="34"/>
        <v>0</v>
      </c>
      <c r="R31" s="56">
        <v>3900</v>
      </c>
      <c r="S31" s="56"/>
      <c r="T31" s="56"/>
      <c r="U31" s="91">
        <f t="shared" si="35"/>
        <v>0</v>
      </c>
      <c r="V31" s="56">
        <v>1500</v>
      </c>
      <c r="W31" s="56"/>
      <c r="X31" s="56"/>
      <c r="Y31" s="91">
        <f t="shared" si="36"/>
        <v>0</v>
      </c>
      <c r="Z31" s="56">
        <v>6074</v>
      </c>
      <c r="AA31" s="56"/>
      <c r="AB31" s="56"/>
      <c r="AC31" s="91">
        <f>AB31/Z31%</f>
        <v>0</v>
      </c>
      <c r="AD31" s="56">
        <v>5800</v>
      </c>
      <c r="AE31" s="56"/>
      <c r="AF31" s="56"/>
      <c r="AG31" s="91">
        <f>AF31/AD31%</f>
        <v>0</v>
      </c>
      <c r="AH31" s="56">
        <v>3650</v>
      </c>
      <c r="AI31" s="56"/>
      <c r="AJ31" s="56"/>
      <c r="AK31" s="91">
        <f>AJ31/AH31%</f>
        <v>0</v>
      </c>
      <c r="AL31" s="56">
        <v>7200</v>
      </c>
      <c r="AM31" s="56"/>
      <c r="AN31" s="56"/>
      <c r="AO31" s="91">
        <f>AN31/AL31%</f>
        <v>0</v>
      </c>
      <c r="AP31" s="56">
        <v>5000</v>
      </c>
      <c r="AQ31" s="56"/>
      <c r="AR31" s="56"/>
      <c r="AS31" s="91">
        <f>AR31/AP31%</f>
        <v>0</v>
      </c>
      <c r="AT31" s="56">
        <v>4400</v>
      </c>
      <c r="AU31" s="56"/>
      <c r="AV31" s="56"/>
      <c r="AW31" s="91">
        <f>AV31/AT31%</f>
        <v>0</v>
      </c>
      <c r="AX31" s="56">
        <v>5500</v>
      </c>
      <c r="AY31" s="56"/>
      <c r="AZ31" s="56"/>
      <c r="BA31" s="91">
        <f>AZ31/AX31%</f>
        <v>0</v>
      </c>
      <c r="BB31" s="56">
        <v>5750</v>
      </c>
      <c r="BC31" s="56"/>
      <c r="BD31" s="56"/>
      <c r="BE31" s="91">
        <f t="shared" si="18"/>
        <v>0</v>
      </c>
    </row>
    <row r="32" spans="1:57" s="92" customFormat="1" ht="14.25" x14ac:dyDescent="0.2">
      <c r="A32" s="126" t="s">
        <v>30</v>
      </c>
      <c r="B32" s="53">
        <v>418299</v>
      </c>
      <c r="C32" s="53">
        <f>44381.809+9662.162-16213.191-4712.599</f>
        <v>33118.181000000004</v>
      </c>
      <c r="D32" s="53">
        <f>357966.486+93422.793-132631.227-41163.697</f>
        <v>277594.35499999998</v>
      </c>
      <c r="E32" s="91">
        <f>D32/B32%</f>
        <v>66.362662832089001</v>
      </c>
      <c r="F32" s="53">
        <f t="shared" si="2"/>
        <v>152058</v>
      </c>
      <c r="G32" s="53">
        <f t="shared" si="3"/>
        <v>16467.002000000008</v>
      </c>
      <c r="H32" s="53">
        <f t="shared" si="4"/>
        <v>189551.908</v>
      </c>
      <c r="I32" s="91">
        <f t="shared" si="5"/>
        <v>124.65763590208999</v>
      </c>
      <c r="J32" s="53">
        <f>+N32+R32+V32+Z32+AD32+AH32+AL32+AP32+AT32+AX32+BB32</f>
        <v>266241</v>
      </c>
      <c r="K32" s="53">
        <f>+O32+S32+W32+AA32+AE32+AI32+AM32+AQ32+AU32+AY32+BC32</f>
        <v>16651.178999999996</v>
      </c>
      <c r="L32" s="53">
        <f>+P32+T32+X32+AB32+AF32+AJ32+AN32+AR32+AV32+AZ32+BD32</f>
        <v>88042.447</v>
      </c>
      <c r="M32" s="91">
        <f t="shared" si="6"/>
        <v>33.068703543030566</v>
      </c>
      <c r="N32" s="53">
        <v>19275</v>
      </c>
      <c r="O32" s="53">
        <v>9000</v>
      </c>
      <c r="P32" s="53">
        <f>13996.883+1221.533</f>
        <v>15218.415999999999</v>
      </c>
      <c r="Q32" s="91">
        <f>P32/N32%</f>
        <v>78.95416861219195</v>
      </c>
      <c r="R32" s="53">
        <v>13809</v>
      </c>
      <c r="S32" s="53">
        <v>147.74600000000001</v>
      </c>
      <c r="T32" s="53">
        <f>3190.535+808.888</f>
        <v>3999.4229999999998</v>
      </c>
      <c r="U32" s="91">
        <f>T32/R32%</f>
        <v>28.962437540734303</v>
      </c>
      <c r="V32" s="53">
        <v>23030</v>
      </c>
      <c r="W32" s="53">
        <f>343.242+39</f>
        <v>382.24200000000002</v>
      </c>
      <c r="X32" s="53">
        <f>5768.291+702.33</f>
        <v>6470.6210000000001</v>
      </c>
      <c r="Y32" s="91">
        <f>X32/V32%</f>
        <v>28.096487190620927</v>
      </c>
      <c r="Z32" s="53">
        <v>32570</v>
      </c>
      <c r="AA32" s="53">
        <f>369.629+14.625</f>
        <v>384.25400000000002</v>
      </c>
      <c r="AB32" s="53">
        <f>4356.824+1203.505</f>
        <v>5560.3289999999997</v>
      </c>
      <c r="AC32" s="91">
        <f>AB32/Z32%</f>
        <v>17.071934295363832</v>
      </c>
      <c r="AD32" s="53">
        <v>27403</v>
      </c>
      <c r="AE32" s="53">
        <f>836.89+41.25</f>
        <v>878.14</v>
      </c>
      <c r="AF32" s="53">
        <f>5076.859+895.005</f>
        <v>5971.8640000000005</v>
      </c>
      <c r="AG32" s="91">
        <f>AF32/AD32%</f>
        <v>21.792738021384523</v>
      </c>
      <c r="AH32" s="53">
        <v>25316</v>
      </c>
      <c r="AI32" s="53">
        <f>100+105</f>
        <v>205</v>
      </c>
      <c r="AJ32" s="53">
        <f>6212.509+1190.828</f>
        <v>7403.3369999999995</v>
      </c>
      <c r="AK32" s="91">
        <f>AJ32/AH32%</f>
        <v>29.243707536735659</v>
      </c>
      <c r="AL32" s="53">
        <v>22130</v>
      </c>
      <c r="AM32" s="53">
        <f>317.186+87.446</f>
        <v>404.63199999999995</v>
      </c>
      <c r="AN32" s="53">
        <f>3481.504+1527.829</f>
        <v>5009.3329999999996</v>
      </c>
      <c r="AO32" s="91">
        <f>AN32/AL32%</f>
        <v>22.635937641211022</v>
      </c>
      <c r="AP32" s="53">
        <v>26357</v>
      </c>
      <c r="AQ32" s="53">
        <v>54.505000000000003</v>
      </c>
      <c r="AR32" s="53">
        <f>4949.599+595.005</f>
        <v>5544.6040000000003</v>
      </c>
      <c r="AS32" s="91">
        <f>AR32/AP32%</f>
        <v>21.036551959631218</v>
      </c>
      <c r="AT32" s="53">
        <v>25005</v>
      </c>
      <c r="AU32" s="53">
        <f>428.112+222.52</f>
        <v>650.63200000000006</v>
      </c>
      <c r="AV32" s="53">
        <f>4821.262+2696.995</f>
        <v>7518.2569999999996</v>
      </c>
      <c r="AW32" s="91">
        <f>AV32/AT32%</f>
        <v>30.067014597080583</v>
      </c>
      <c r="AX32" s="53">
        <v>22743</v>
      </c>
      <c r="AY32" s="53">
        <f>1874.165+2213.216</f>
        <v>4087.3809999999999</v>
      </c>
      <c r="AZ32" s="53">
        <f>10162.375+5092.856</f>
        <v>15255.231</v>
      </c>
      <c r="BA32" s="91">
        <f>AZ32/AX32%</f>
        <v>67.076599393219894</v>
      </c>
      <c r="BB32" s="53">
        <v>28603</v>
      </c>
      <c r="BC32" s="53">
        <f>184.647+272</f>
        <v>456.64699999999999</v>
      </c>
      <c r="BD32" s="53">
        <f>7326.712+2764.32</f>
        <v>10091.032000000001</v>
      </c>
      <c r="BE32" s="91">
        <f t="shared" si="18"/>
        <v>35.279628011047798</v>
      </c>
    </row>
    <row r="33" spans="1:57" s="92" customFormat="1" ht="14.25" x14ac:dyDescent="0.2">
      <c r="A33" s="126" t="s">
        <v>31</v>
      </c>
      <c r="B33" s="53">
        <v>197557</v>
      </c>
      <c r="C33" s="53">
        <f>13878.88-657.892-897.407</f>
        <v>12323.581</v>
      </c>
      <c r="D33" s="53">
        <f>78636.684-5297.138-4079.394</f>
        <v>69260.151999999987</v>
      </c>
      <c r="E33" s="91">
        <f>D33/B33%</f>
        <v>35.058313296921895</v>
      </c>
      <c r="F33" s="53">
        <f t="shared" si="2"/>
        <v>35825</v>
      </c>
      <c r="G33" s="53">
        <f t="shared" si="3"/>
        <v>368.54899999999725</v>
      </c>
      <c r="H33" s="53">
        <f t="shared" si="4"/>
        <v>1023.7679999999818</v>
      </c>
      <c r="I33" s="91">
        <f t="shared" si="5"/>
        <v>2.8576915561758041</v>
      </c>
      <c r="J33" s="53">
        <f>+N33+R33+V33+Z33+AD33+AH33+AL33+AP33+AT33+AX33+BB33</f>
        <v>161732</v>
      </c>
      <c r="K33" s="53">
        <f>+O33+S33+W33+AA33+AE33+AI33+AM33+AQ33+AU33+AY33+BC33</f>
        <v>11955.032000000003</v>
      </c>
      <c r="L33" s="53">
        <f>+P33+T33+X33+AB33+AF33+AJ33+AN33+AR33+AV33+AZ33+BD33</f>
        <v>68236.384000000005</v>
      </c>
      <c r="M33" s="91">
        <f t="shared" si="6"/>
        <v>42.191022184849011</v>
      </c>
      <c r="N33" s="53">
        <v>67036</v>
      </c>
      <c r="O33" s="53">
        <v>0</v>
      </c>
      <c r="P33" s="53">
        <v>30099</v>
      </c>
      <c r="Q33" s="91">
        <f>P33/N33%</f>
        <v>44.899755355331465</v>
      </c>
      <c r="R33" s="53">
        <v>19784</v>
      </c>
      <c r="S33" s="53">
        <v>12.09</v>
      </c>
      <c r="T33" s="53">
        <v>29.925000000000001</v>
      </c>
      <c r="U33" s="91">
        <f>T33/R33%</f>
        <v>0.15125859280226445</v>
      </c>
      <c r="V33" s="53">
        <v>9700</v>
      </c>
      <c r="W33" s="53">
        <f>163.905-163.905</f>
        <v>0</v>
      </c>
      <c r="X33" s="53">
        <f>1790.491-163.905</f>
        <v>1626.586</v>
      </c>
      <c r="Y33" s="91">
        <f>X33/V33%</f>
        <v>16.768927835051546</v>
      </c>
      <c r="Z33" s="53">
        <v>13000</v>
      </c>
      <c r="AA33" s="53">
        <f>6104.782-733.502</f>
        <v>5371.2800000000007</v>
      </c>
      <c r="AB33" s="53">
        <f>9206.77-3835.489</f>
        <v>5371.2810000000009</v>
      </c>
      <c r="AC33" s="91">
        <f>AB33/Z33%</f>
        <v>41.317546153846159</v>
      </c>
      <c r="AD33" s="53">
        <v>7400</v>
      </c>
      <c r="AE33" s="53">
        <v>1149.318</v>
      </c>
      <c r="AF33" s="53">
        <v>3698.9650000000001</v>
      </c>
      <c r="AG33" s="91">
        <f>AF33/AD33%</f>
        <v>49.986013513513512</v>
      </c>
      <c r="AH33" s="53">
        <v>6980</v>
      </c>
      <c r="AI33" s="53">
        <v>1981.213</v>
      </c>
      <c r="AJ33" s="53">
        <v>4155.5680000000002</v>
      </c>
      <c r="AK33" s="91">
        <f>AJ33/AH33%</f>
        <v>59.53535816618912</v>
      </c>
      <c r="AL33" s="53">
        <v>6432</v>
      </c>
      <c r="AM33" s="53">
        <v>292.37900000000002</v>
      </c>
      <c r="AN33" s="53">
        <v>4770.0349999999999</v>
      </c>
      <c r="AO33" s="91">
        <f>AN33/AL33%</f>
        <v>74.160991915422898</v>
      </c>
      <c r="AP33" s="53">
        <v>6000</v>
      </c>
      <c r="AQ33" s="53">
        <v>1277.972</v>
      </c>
      <c r="AR33" s="53">
        <f>10538.305-80</f>
        <v>10458.305</v>
      </c>
      <c r="AS33" s="91">
        <f>AR33/AP33%</f>
        <v>174.30508333333333</v>
      </c>
      <c r="AT33" s="53">
        <v>8100</v>
      </c>
      <c r="AU33" s="53">
        <v>56.182000000000002</v>
      </c>
      <c r="AV33" s="53">
        <v>3968.7280000000001</v>
      </c>
      <c r="AW33" s="91">
        <f>AV33/AT33%</f>
        <v>48.996641975308641</v>
      </c>
      <c r="AX33" s="53">
        <v>6300</v>
      </c>
      <c r="AY33" s="53">
        <v>1808.598</v>
      </c>
      <c r="AZ33" s="53">
        <v>3834.4810000000002</v>
      </c>
      <c r="BA33" s="91">
        <f>AZ33/AX33%</f>
        <v>60.864777777777782</v>
      </c>
      <c r="BB33" s="53">
        <v>11000</v>
      </c>
      <c r="BC33" s="53">
        <v>6</v>
      </c>
      <c r="BD33" s="53">
        <v>223.51</v>
      </c>
      <c r="BE33" s="91">
        <f t="shared" si="18"/>
        <v>2.0319090909090907</v>
      </c>
    </row>
    <row r="34" spans="1:57" s="92" customFormat="1" ht="14.25" x14ac:dyDescent="0.2">
      <c r="A34" s="126" t="s">
        <v>117</v>
      </c>
      <c r="B34" s="53">
        <v>1129084</v>
      </c>
      <c r="C34" s="53">
        <f>124336.572-6616.853</f>
        <v>117719.719</v>
      </c>
      <c r="D34" s="53">
        <f>919141.606-15187.726</f>
        <v>903953.88</v>
      </c>
      <c r="E34" s="91">
        <f>D34/B34%</f>
        <v>80.060817441394974</v>
      </c>
      <c r="F34" s="53">
        <f t="shared" si="2"/>
        <v>0</v>
      </c>
      <c r="G34" s="53">
        <f t="shared" si="3"/>
        <v>3.0000000115251169E-3</v>
      </c>
      <c r="H34" s="53">
        <f t="shared" si="4"/>
        <v>4.0000000735744834E-3</v>
      </c>
      <c r="I34" s="91"/>
      <c r="J34" s="53">
        <f>+N34+R34+V34+Z34+AD34+AH34+AL34+AP34+AT34+AX34+BB34</f>
        <v>1129084</v>
      </c>
      <c r="K34" s="53">
        <f>+O34+S34+W34+AA34+AE34+AI34+AM34+AQ34+AU34+AY34+BC34</f>
        <v>117719.71599999999</v>
      </c>
      <c r="L34" s="53">
        <f>+P34+T34+X34+AB34+AF34+AJ34+AN34+AR34+AV34+AZ34+BD34</f>
        <v>903953.87599999993</v>
      </c>
      <c r="M34" s="91">
        <f t="shared" si="6"/>
        <v>80.060817087125486</v>
      </c>
      <c r="N34" s="53">
        <v>95039</v>
      </c>
      <c r="O34" s="53">
        <v>9063.4779999999992</v>
      </c>
      <c r="P34" s="53">
        <v>70013.338000000003</v>
      </c>
      <c r="Q34" s="91">
        <f>P34/N34%</f>
        <v>73.668007870453181</v>
      </c>
      <c r="R34" s="53">
        <v>57152</v>
      </c>
      <c r="S34" s="53">
        <v>4774.2169999999996</v>
      </c>
      <c r="T34" s="53">
        <f>38221.354-517.92</f>
        <v>37703.434000000001</v>
      </c>
      <c r="U34" s="91">
        <f>T34/R34%</f>
        <v>65.970454227323629</v>
      </c>
      <c r="V34" s="53">
        <v>93056</v>
      </c>
      <c r="W34" s="53">
        <f>11432.4-1565.322</f>
        <v>9867.0779999999995</v>
      </c>
      <c r="X34" s="53">
        <f>76367.149-2468.231</f>
        <v>73898.918000000005</v>
      </c>
      <c r="Y34" s="91">
        <f>X34/V34%</f>
        <v>79.413383339064666</v>
      </c>
      <c r="Z34" s="53">
        <v>139378</v>
      </c>
      <c r="AA34" s="53">
        <v>13496.682000000001</v>
      </c>
      <c r="AB34" s="53">
        <v>109353.45600000001</v>
      </c>
      <c r="AC34" s="91">
        <f>AB34/Z34%</f>
        <v>78.458189958243054</v>
      </c>
      <c r="AD34" s="53">
        <v>117755</v>
      </c>
      <c r="AE34" s="53">
        <f>13158.118-11.264</f>
        <v>13146.854000000001</v>
      </c>
      <c r="AF34" s="53">
        <f>103320.91-498.914</f>
        <v>102821.996</v>
      </c>
      <c r="AG34" s="91">
        <f>AF34/AD34%</f>
        <v>87.318581801197411</v>
      </c>
      <c r="AH34" s="53">
        <v>101671</v>
      </c>
      <c r="AI34" s="53">
        <f>11341.095-54.436</f>
        <v>11286.659</v>
      </c>
      <c r="AJ34" s="53">
        <f>76301.943-236.765</f>
        <v>76065.178</v>
      </c>
      <c r="AK34" s="91">
        <f>AJ34/AH34%</f>
        <v>74.81501903197568</v>
      </c>
      <c r="AL34" s="53">
        <v>99902</v>
      </c>
      <c r="AM34" s="53">
        <f>12065.695-1645</f>
        <v>10420.695</v>
      </c>
      <c r="AN34" s="53">
        <f>81768.495-1701.752</f>
        <v>80066.743000000002</v>
      </c>
      <c r="AO34" s="91">
        <f>AN34/AL34%</f>
        <v>80.145285379672089</v>
      </c>
      <c r="AP34" s="53">
        <v>108960</v>
      </c>
      <c r="AQ34" s="53">
        <v>11874.203</v>
      </c>
      <c r="AR34" s="53">
        <f>95108.811-438</f>
        <v>94670.811000000002</v>
      </c>
      <c r="AS34" s="91">
        <f>AR34/AP34%</f>
        <v>86.885839757709263</v>
      </c>
      <c r="AT34" s="53">
        <v>106000</v>
      </c>
      <c r="AU34" s="53">
        <f>12983.139-1718.94</f>
        <v>11264.198999999999</v>
      </c>
      <c r="AV34" s="53">
        <f>94121.157-6599.54</f>
        <v>87521.617000000013</v>
      </c>
      <c r="AW34" s="91">
        <f>AV34/AT34%</f>
        <v>82.567563207547181</v>
      </c>
      <c r="AX34" s="53">
        <v>105657</v>
      </c>
      <c r="AY34" s="53">
        <f>13076.525-1621.89</f>
        <v>11454.635</v>
      </c>
      <c r="AZ34" s="53">
        <f>88623.388-2320.09</f>
        <v>86303.29800000001</v>
      </c>
      <c r="BA34" s="91">
        <f>AZ34/AX34%</f>
        <v>81.682517959056199</v>
      </c>
      <c r="BB34" s="53">
        <v>104514</v>
      </c>
      <c r="BC34" s="53">
        <v>11071.016</v>
      </c>
      <c r="BD34" s="53">
        <f>85941.599-406.512</f>
        <v>85535.087</v>
      </c>
      <c r="BE34" s="91">
        <f t="shared" si="18"/>
        <v>81.840793577893862</v>
      </c>
    </row>
    <row r="35" spans="1:57" s="92" customFormat="1" ht="14.25" x14ac:dyDescent="0.2">
      <c r="A35" s="126" t="s">
        <v>118</v>
      </c>
      <c r="B35" s="53">
        <f>355900+71913</f>
        <v>427813</v>
      </c>
      <c r="C35" s="53">
        <f>13044.806-1713.44+163.661-3072.393</f>
        <v>8422.634</v>
      </c>
      <c r="D35" s="53">
        <f>88039.99-21426.729+9204.06-8196.109</f>
        <v>67621.212</v>
      </c>
      <c r="E35" s="91">
        <f t="shared" ref="E35:E47" si="37">D35/B35%</f>
        <v>15.806254601893817</v>
      </c>
      <c r="F35" s="53">
        <f t="shared" si="2"/>
        <v>168784</v>
      </c>
      <c r="G35" s="53">
        <f t="shared" si="3"/>
        <v>4147.174</v>
      </c>
      <c r="H35" s="53">
        <f t="shared" si="4"/>
        <v>39220.992000000006</v>
      </c>
      <c r="I35" s="91">
        <f t="shared" si="5"/>
        <v>23.237387430088166</v>
      </c>
      <c r="J35" s="53">
        <f>+N35+R35+V35+Z35+AD35+AH35+AL35+AP35+AT35+AX35+BB35</f>
        <v>259029</v>
      </c>
      <c r="K35" s="53">
        <f>+O35+S35+W35+AA35+AE35+AI35+AM35+AQ35+AU35+AY35+BC35</f>
        <v>4275.46</v>
      </c>
      <c r="L35" s="53">
        <f>+P35+T35+X35+AB35+AF35+AJ35+AN35+AR35+AV35+AZ35+BD35</f>
        <v>28400.219999999994</v>
      </c>
      <c r="M35" s="91">
        <f t="shared" si="6"/>
        <v>10.964108265869843</v>
      </c>
      <c r="N35" s="53">
        <v>2285</v>
      </c>
      <c r="O35" s="53">
        <v>46.332000000000001</v>
      </c>
      <c r="P35" s="53">
        <v>1728.924</v>
      </c>
      <c r="Q35" s="91">
        <f>P35/N35%</f>
        <v>75.664070021881827</v>
      </c>
      <c r="R35" s="53">
        <v>27240</v>
      </c>
      <c r="S35" s="53">
        <v>268.27</v>
      </c>
      <c r="T35" s="53">
        <v>1422.2529999999999</v>
      </c>
      <c r="U35" s="91">
        <f>T35/R35%</f>
        <v>5.2211930983847283</v>
      </c>
      <c r="V35" s="53">
        <v>22000</v>
      </c>
      <c r="W35" s="53">
        <f>1778.975-62.71</f>
        <v>1716.2649999999999</v>
      </c>
      <c r="X35" s="53">
        <f>16922.67-479.461</f>
        <v>16443.208999999999</v>
      </c>
      <c r="Y35" s="91">
        <f>X35/V35%</f>
        <v>74.741859090909088</v>
      </c>
      <c r="Z35" s="53">
        <v>21300</v>
      </c>
      <c r="AA35" s="53">
        <f>163.661-46.16</f>
        <v>117.501</v>
      </c>
      <c r="AB35" s="53">
        <f>1690.06-299.596</f>
        <v>1390.4639999999999</v>
      </c>
      <c r="AC35" s="91">
        <f>AB35/Z35%</f>
        <v>6.5279999999999996</v>
      </c>
      <c r="AD35" s="53">
        <v>52604</v>
      </c>
      <c r="AE35" s="53">
        <v>57.5</v>
      </c>
      <c r="AF35" s="53">
        <v>252.5</v>
      </c>
      <c r="AG35" s="91">
        <f>AF35/AD35%</f>
        <v>0.48000152079689762</v>
      </c>
      <c r="AH35" s="53">
        <v>16800</v>
      </c>
      <c r="AI35" s="53">
        <v>1280.453</v>
      </c>
      <c r="AJ35" s="53">
        <v>3119.712</v>
      </c>
      <c r="AK35" s="91">
        <f>AJ35/AH35%</f>
        <v>18.569714285714287</v>
      </c>
      <c r="AL35" s="53">
        <v>26800</v>
      </c>
      <c r="AM35" s="53">
        <v>0</v>
      </c>
      <c r="AN35" s="53">
        <v>430.23099999999999</v>
      </c>
      <c r="AO35" s="91">
        <f>AN35/AL35%</f>
        <v>1.6053395522388059</v>
      </c>
      <c r="AP35" s="53">
        <v>17000</v>
      </c>
      <c r="AQ35" s="53">
        <f>224.38-119.38</f>
        <v>105</v>
      </c>
      <c r="AR35" s="53">
        <f>1505.978-1346.858</f>
        <v>159.12000000000012</v>
      </c>
      <c r="AS35" s="91">
        <f>AR35/AP35%</f>
        <v>0.93600000000000072</v>
      </c>
      <c r="AT35" s="53">
        <v>22000</v>
      </c>
      <c r="AU35" s="53">
        <f>319.156-14.667</f>
        <v>304.48900000000003</v>
      </c>
      <c r="AV35" s="53">
        <f>1816.689-133.867</f>
        <v>1682.8220000000001</v>
      </c>
      <c r="AW35" s="91">
        <f>AV35/AT35%</f>
        <v>7.64919090909091</v>
      </c>
      <c r="AX35" s="53">
        <v>23000</v>
      </c>
      <c r="AY35" s="53">
        <v>364.65</v>
      </c>
      <c r="AZ35" s="53">
        <v>1527.385</v>
      </c>
      <c r="BA35" s="91">
        <f>AZ35/AX35%</f>
        <v>6.6408043478260872</v>
      </c>
      <c r="BB35" s="53">
        <v>28000</v>
      </c>
      <c r="BC35" s="53">
        <v>15</v>
      </c>
      <c r="BD35" s="53">
        <v>243.6</v>
      </c>
      <c r="BE35" s="91">
        <f t="shared" si="18"/>
        <v>0.87</v>
      </c>
    </row>
    <row r="36" spans="1:57" s="92" customFormat="1" ht="28.5" x14ac:dyDescent="0.2">
      <c r="A36" s="128" t="s">
        <v>119</v>
      </c>
      <c r="B36" s="53">
        <v>11500</v>
      </c>
      <c r="C36" s="53">
        <v>0</v>
      </c>
      <c r="D36" s="53">
        <v>3987.5259999999998</v>
      </c>
      <c r="E36" s="91">
        <f t="shared" si="37"/>
        <v>34.674139130434781</v>
      </c>
      <c r="F36" s="53">
        <f t="shared" si="2"/>
        <v>11500</v>
      </c>
      <c r="G36" s="53">
        <f t="shared" si="3"/>
        <v>0</v>
      </c>
      <c r="H36" s="53">
        <f t="shared" si="4"/>
        <v>3987.5259999999998</v>
      </c>
      <c r="I36" s="91"/>
      <c r="J36" s="53">
        <f>+N36+R36+V36+Z36+AD36+AH36+AL36+AP36+AT36+AX36+BB36</f>
        <v>0</v>
      </c>
      <c r="K36" s="53">
        <f>+O36+S36+W36+AA36+AE36+AI36+AM36+AQ36+AU36+AY36+BC36</f>
        <v>0</v>
      </c>
      <c r="L36" s="53">
        <f>+P36+T36+X36+AB36+AF36+AJ36+AN36+AR36+AV36+AZ36+BD36</f>
        <v>0</v>
      </c>
      <c r="M36" s="91"/>
      <c r="N36" s="53"/>
      <c r="O36" s="53"/>
      <c r="P36" s="53"/>
      <c r="Q36" s="91"/>
      <c r="R36" s="53"/>
      <c r="S36" s="53"/>
      <c r="T36" s="53"/>
      <c r="U36" s="91"/>
      <c r="V36" s="53"/>
      <c r="W36" s="53"/>
      <c r="X36" s="53"/>
      <c r="Y36" s="91"/>
      <c r="Z36" s="53"/>
      <c r="AA36" s="53"/>
      <c r="AB36" s="53"/>
      <c r="AC36" s="91"/>
      <c r="AD36" s="53"/>
      <c r="AE36" s="53"/>
      <c r="AF36" s="53"/>
      <c r="AG36" s="91"/>
      <c r="AH36" s="53"/>
      <c r="AI36" s="53"/>
      <c r="AJ36" s="53"/>
      <c r="AK36" s="91"/>
      <c r="AL36" s="53"/>
      <c r="AM36" s="53"/>
      <c r="AN36" s="53"/>
      <c r="AO36" s="91"/>
      <c r="AP36" s="53"/>
      <c r="AQ36" s="53"/>
      <c r="AR36" s="53"/>
      <c r="AS36" s="91"/>
      <c r="AT36" s="53"/>
      <c r="AU36" s="53"/>
      <c r="AV36" s="53"/>
      <c r="AW36" s="91"/>
      <c r="AX36" s="53"/>
      <c r="AY36" s="53"/>
      <c r="AZ36" s="53"/>
      <c r="BA36" s="91"/>
      <c r="BB36" s="53"/>
      <c r="BC36" s="53"/>
      <c r="BD36" s="53"/>
      <c r="BE36" s="91"/>
    </row>
    <row r="37" spans="1:57" s="92" customFormat="1" ht="14.25" x14ac:dyDescent="0.2">
      <c r="A37" s="126" t="s">
        <v>57</v>
      </c>
      <c r="B37" s="53">
        <v>1170</v>
      </c>
      <c r="C37" s="53"/>
      <c r="D37" s="53"/>
      <c r="E37" s="91">
        <f t="shared" si="37"/>
        <v>0</v>
      </c>
      <c r="F37" s="53">
        <f t="shared" si="2"/>
        <v>1170</v>
      </c>
      <c r="G37" s="53">
        <f t="shared" si="3"/>
        <v>0</v>
      </c>
      <c r="H37" s="53">
        <f t="shared" si="4"/>
        <v>0</v>
      </c>
      <c r="I37" s="91">
        <f t="shared" si="5"/>
        <v>0</v>
      </c>
      <c r="J37" s="53">
        <f>+N37+R37+V37+Z37+AD37+AH37+AL37+AP37+AT37+AX37+BB37</f>
        <v>0</v>
      </c>
      <c r="K37" s="53">
        <f>+O37+S37+W37+AA37+AE37+AI37+AM37+AQ37+AU37+AY37+BC37</f>
        <v>0</v>
      </c>
      <c r="L37" s="53">
        <f>+P37+T37+X37+AB37+AF37+AJ37+AN37+AR37+AV37+AZ37+BD37</f>
        <v>0</v>
      </c>
      <c r="M37" s="91"/>
      <c r="N37" s="53">
        <v>0</v>
      </c>
      <c r="O37" s="53"/>
      <c r="P37" s="53"/>
      <c r="Q37" s="91"/>
      <c r="R37" s="53">
        <v>0</v>
      </c>
      <c r="S37" s="53"/>
      <c r="T37" s="53"/>
      <c r="U37" s="91"/>
      <c r="V37" s="53">
        <v>0</v>
      </c>
      <c r="W37" s="53"/>
      <c r="X37" s="53"/>
      <c r="Y37" s="91"/>
      <c r="Z37" s="53">
        <v>0</v>
      </c>
      <c r="AA37" s="53"/>
      <c r="AB37" s="53"/>
      <c r="AC37" s="91"/>
      <c r="AD37" s="53">
        <v>0</v>
      </c>
      <c r="AE37" s="53"/>
      <c r="AF37" s="53"/>
      <c r="AG37" s="91"/>
      <c r="AH37" s="53">
        <v>0</v>
      </c>
      <c r="AI37" s="53"/>
      <c r="AJ37" s="53"/>
      <c r="AK37" s="91"/>
      <c r="AL37" s="53">
        <v>0</v>
      </c>
      <c r="AM37" s="53"/>
      <c r="AN37" s="53"/>
      <c r="AO37" s="91"/>
      <c r="AP37" s="53">
        <v>0</v>
      </c>
      <c r="AQ37" s="53"/>
      <c r="AR37" s="53"/>
      <c r="AS37" s="91"/>
      <c r="AT37" s="53">
        <v>0</v>
      </c>
      <c r="AU37" s="53"/>
      <c r="AV37" s="53"/>
      <c r="AW37" s="91"/>
      <c r="AX37" s="53">
        <v>0</v>
      </c>
      <c r="AY37" s="53"/>
      <c r="AZ37" s="53"/>
      <c r="BA37" s="91"/>
      <c r="BB37" s="53">
        <v>0</v>
      </c>
      <c r="BC37" s="53"/>
      <c r="BD37" s="53"/>
      <c r="BE37" s="91"/>
    </row>
    <row r="38" spans="1:57" s="92" customFormat="1" ht="14.25" x14ac:dyDescent="0.2">
      <c r="A38" s="129" t="s">
        <v>32</v>
      </c>
      <c r="B38" s="53">
        <v>336034</v>
      </c>
      <c r="C38" s="53"/>
      <c r="D38" s="53"/>
      <c r="E38" s="91">
        <f t="shared" si="37"/>
        <v>0</v>
      </c>
      <c r="F38" s="53">
        <f t="shared" si="2"/>
        <v>154997</v>
      </c>
      <c r="G38" s="53">
        <f t="shared" si="3"/>
        <v>0</v>
      </c>
      <c r="H38" s="53">
        <f t="shared" si="4"/>
        <v>0</v>
      </c>
      <c r="I38" s="91">
        <f t="shared" si="5"/>
        <v>0</v>
      </c>
      <c r="J38" s="53">
        <f>+N38+R38+V38+Z38+AD38+AH38+AL38+AP38+AT38+AX38+BB38</f>
        <v>181037</v>
      </c>
      <c r="K38" s="53">
        <f>+O38+S38+W38+AA38+AE38+AI38+AM38+AQ38+AU38+AY38+BC38</f>
        <v>0</v>
      </c>
      <c r="L38" s="53">
        <f>+P38+T38+X38+AB38+AF38+AJ38+AN38+AR38+AV38+AZ38+BD38</f>
        <v>0</v>
      </c>
      <c r="M38" s="91"/>
      <c r="N38" s="53">
        <v>22724</v>
      </c>
      <c r="O38" s="53"/>
      <c r="P38" s="53"/>
      <c r="Q38" s="91"/>
      <c r="R38" s="53">
        <v>11666</v>
      </c>
      <c r="S38" s="53"/>
      <c r="T38" s="53"/>
      <c r="U38" s="91"/>
      <c r="V38" s="53">
        <v>14507</v>
      </c>
      <c r="W38" s="53"/>
      <c r="X38" s="53"/>
      <c r="Y38" s="91"/>
      <c r="Z38" s="53">
        <v>22431</v>
      </c>
      <c r="AA38" s="53"/>
      <c r="AB38" s="53"/>
      <c r="AC38" s="91"/>
      <c r="AD38" s="53">
        <v>17113</v>
      </c>
      <c r="AE38" s="53"/>
      <c r="AF38" s="53"/>
      <c r="AG38" s="91"/>
      <c r="AH38" s="53">
        <v>16305</v>
      </c>
      <c r="AI38" s="53"/>
      <c r="AJ38" s="53"/>
      <c r="AK38" s="91"/>
      <c r="AL38" s="53">
        <v>14931</v>
      </c>
      <c r="AM38" s="53"/>
      <c r="AN38" s="53"/>
      <c r="AO38" s="91"/>
      <c r="AP38" s="53">
        <v>16460</v>
      </c>
      <c r="AQ38" s="53"/>
      <c r="AR38" s="53"/>
      <c r="AS38" s="91"/>
      <c r="AT38" s="53">
        <v>15561</v>
      </c>
      <c r="AU38" s="53"/>
      <c r="AV38" s="53"/>
      <c r="AW38" s="91"/>
      <c r="AX38" s="53">
        <v>14358</v>
      </c>
      <c r="AY38" s="53"/>
      <c r="AZ38" s="53"/>
      <c r="BA38" s="91"/>
      <c r="BB38" s="53">
        <v>14981</v>
      </c>
      <c r="BC38" s="53"/>
      <c r="BD38" s="53"/>
      <c r="BE38" s="91"/>
    </row>
    <row r="39" spans="1:57" s="92" customFormat="1" ht="28.5" x14ac:dyDescent="0.2">
      <c r="A39" s="128" t="s">
        <v>80</v>
      </c>
      <c r="B39" s="53">
        <v>625088</v>
      </c>
      <c r="C39" s="53"/>
      <c r="D39" s="53"/>
      <c r="E39" s="91">
        <f t="shared" si="37"/>
        <v>0</v>
      </c>
      <c r="F39" s="53">
        <f t="shared" si="2"/>
        <v>454283</v>
      </c>
      <c r="G39" s="53">
        <f t="shared" si="3"/>
        <v>0</v>
      </c>
      <c r="H39" s="53">
        <f t="shared" si="4"/>
        <v>0</v>
      </c>
      <c r="I39" s="91"/>
      <c r="J39" s="53">
        <f>+N39+R39+V39+Z39+AD39+AH39+AL39+AP39+AT39+AX39+BB39</f>
        <v>170805</v>
      </c>
      <c r="K39" s="53">
        <f>+O39+S39+W39+AA39+AE39+AI39+AM39+AQ39+AU39+AY39+BC39</f>
        <v>0</v>
      </c>
      <c r="L39" s="53">
        <f>+P39+T39+X39+AB39+AF39+AJ39+AN39+AR39+AV39+AZ39+BD39</f>
        <v>0</v>
      </c>
      <c r="M39" s="91"/>
      <c r="N39" s="53">
        <v>103670</v>
      </c>
      <c r="O39" s="53"/>
      <c r="P39" s="53"/>
      <c r="Q39" s="91"/>
      <c r="R39" s="53">
        <v>56974</v>
      </c>
      <c r="S39" s="53"/>
      <c r="T39" s="53"/>
      <c r="U39" s="91"/>
      <c r="V39" s="53"/>
      <c r="W39" s="53"/>
      <c r="X39" s="53"/>
      <c r="Y39" s="91"/>
      <c r="Z39" s="53"/>
      <c r="AA39" s="53"/>
      <c r="AB39" s="53"/>
      <c r="AC39" s="91"/>
      <c r="AD39" s="53"/>
      <c r="AE39" s="53"/>
      <c r="AF39" s="53"/>
      <c r="AG39" s="91"/>
      <c r="AH39" s="53"/>
      <c r="AI39" s="53"/>
      <c r="AJ39" s="53"/>
      <c r="AK39" s="91"/>
      <c r="AL39" s="53"/>
      <c r="AM39" s="53"/>
      <c r="AN39" s="53"/>
      <c r="AO39" s="91"/>
      <c r="AP39" s="53"/>
      <c r="AQ39" s="53"/>
      <c r="AR39" s="53"/>
      <c r="AS39" s="91"/>
      <c r="AT39" s="53"/>
      <c r="AU39" s="53"/>
      <c r="AV39" s="53"/>
      <c r="AW39" s="91"/>
      <c r="AX39" s="53"/>
      <c r="AY39" s="53"/>
      <c r="AZ39" s="53"/>
      <c r="BA39" s="91"/>
      <c r="BB39" s="53">
        <v>10161</v>
      </c>
      <c r="BC39" s="53"/>
      <c r="BD39" s="53"/>
      <c r="BE39" s="91"/>
    </row>
    <row r="40" spans="1:57" s="92" customFormat="1" ht="14.25" x14ac:dyDescent="0.2">
      <c r="A40" s="130" t="s">
        <v>51</v>
      </c>
      <c r="B40" s="131">
        <f>+B41+B44+B45</f>
        <v>4008994</v>
      </c>
      <c r="C40" s="131">
        <f t="shared" ref="C40:D40" si="38">+C41+C44+C45</f>
        <v>143020.10707792977</v>
      </c>
      <c r="D40" s="131">
        <f t="shared" si="38"/>
        <v>2748718.1095382497</v>
      </c>
      <c r="E40" s="91">
        <f t="shared" si="37"/>
        <v>68.563787063244533</v>
      </c>
      <c r="F40" s="131">
        <f t="shared" si="2"/>
        <v>4007890</v>
      </c>
      <c r="G40" s="131">
        <f t="shared" si="3"/>
        <v>105594.32807792978</v>
      </c>
      <c r="H40" s="131">
        <f t="shared" si="4"/>
        <v>2490356.2735382495</v>
      </c>
      <c r="I40" s="91">
        <f t="shared" si="5"/>
        <v>62.136342902081878</v>
      </c>
      <c r="J40" s="131">
        <f>+N40+R40+V40+Z40+AD40+AH40+AL40+AP40+AT40+AX40+BB40</f>
        <v>1104</v>
      </c>
      <c r="K40" s="131">
        <f>+O40+S40+W40+AA40+AE40+AI40+AM40+AQ40+AU40+AY40+BC40</f>
        <v>37425.778999999995</v>
      </c>
      <c r="L40" s="131">
        <f>+P40+T40+X40+AB40+AF40+AJ40+AN40+AR40+AV40+AZ40+BD40</f>
        <v>258361.83599999998</v>
      </c>
      <c r="M40" s="115">
        <f t="shared" si="6"/>
        <v>23402.340217391305</v>
      </c>
      <c r="N40" s="131">
        <f t="shared" ref="N40" si="39">+N41+N44</f>
        <v>120</v>
      </c>
      <c r="O40" s="131">
        <f t="shared" ref="O40:P40" si="40">+O41+O44+O45</f>
        <v>1249.259</v>
      </c>
      <c r="P40" s="131">
        <f t="shared" si="40"/>
        <v>3559.556</v>
      </c>
      <c r="Q40" s="91">
        <f>P40/N40%</f>
        <v>2966.2966666666666</v>
      </c>
      <c r="R40" s="131">
        <f t="shared" ref="R40" si="41">+R41+R44</f>
        <v>120</v>
      </c>
      <c r="S40" s="131">
        <f t="shared" ref="S40:T40" si="42">+S41+S44+S45</f>
        <v>10</v>
      </c>
      <c r="T40" s="131">
        <f t="shared" si="42"/>
        <v>746.87700000000007</v>
      </c>
      <c r="U40" s="91">
        <f>T40/R40%</f>
        <v>622.39750000000004</v>
      </c>
      <c r="V40" s="131">
        <f t="shared" ref="V40" si="43">+V41+V44</f>
        <v>105</v>
      </c>
      <c r="W40" s="131">
        <f t="shared" ref="W40:X40" si="44">+W41+W44+W45</f>
        <v>2080.3740000000003</v>
      </c>
      <c r="X40" s="131">
        <f t="shared" si="44"/>
        <v>16380.199000000001</v>
      </c>
      <c r="Y40" s="91">
        <f>X40/V40%</f>
        <v>15600.189523809524</v>
      </c>
      <c r="Z40" s="131">
        <f t="shared" ref="Z40" si="45">+Z41+Z44</f>
        <v>120</v>
      </c>
      <c r="AA40" s="131">
        <f t="shared" ref="AA40:AB40" si="46">+AA41+AA44+AA45</f>
        <v>6539.1949999999997</v>
      </c>
      <c r="AB40" s="131">
        <f t="shared" si="46"/>
        <v>36338.807000000001</v>
      </c>
      <c r="AC40" s="91">
        <f>AB40/Z40%</f>
        <v>30282.339166666668</v>
      </c>
      <c r="AD40" s="131">
        <f t="shared" ref="AD40" si="47">+AD41+AD44</f>
        <v>82</v>
      </c>
      <c r="AE40" s="131">
        <f t="shared" ref="AE40:AF40" si="48">+AE41+AE44+AE45</f>
        <v>2069.527</v>
      </c>
      <c r="AF40" s="131">
        <f t="shared" si="48"/>
        <v>20458.531999999999</v>
      </c>
      <c r="AG40" s="91">
        <f>AF40/AD40%</f>
        <v>24949.429268292683</v>
      </c>
      <c r="AH40" s="131">
        <f t="shared" ref="AH40" si="49">+AH41+AH44</f>
        <v>120</v>
      </c>
      <c r="AI40" s="131">
        <f t="shared" ref="AI40:AJ40" si="50">+AI41+AI44+AI45</f>
        <v>1645.5990000000002</v>
      </c>
      <c r="AJ40" s="131">
        <f t="shared" si="50"/>
        <v>16231.694</v>
      </c>
      <c r="AK40" s="91">
        <f>AJ40/AH40%</f>
        <v>13526.411666666667</v>
      </c>
      <c r="AL40" s="131">
        <f t="shared" ref="AL40" si="51">+AL41+AL44</f>
        <v>120</v>
      </c>
      <c r="AM40" s="131">
        <f t="shared" ref="AM40:AN40" si="52">+AM41+AM44+AM45</f>
        <v>5012.8819999999996</v>
      </c>
      <c r="AN40" s="131">
        <f t="shared" si="52"/>
        <v>27177.231000000003</v>
      </c>
      <c r="AO40" s="91">
        <f>AN40/AL40%</f>
        <v>22647.692500000005</v>
      </c>
      <c r="AP40" s="131">
        <f t="shared" ref="AP40" si="53">+AP41+AP44</f>
        <v>82</v>
      </c>
      <c r="AQ40" s="131">
        <f t="shared" ref="AQ40:AR40" si="54">+AQ41+AQ44+AQ45</f>
        <v>590.74900000000002</v>
      </c>
      <c r="AR40" s="131">
        <f t="shared" si="54"/>
        <v>14893.313999999998</v>
      </c>
      <c r="AS40" s="91">
        <f>AR40/AP40%</f>
        <v>18162.578048780488</v>
      </c>
      <c r="AT40" s="131">
        <f t="shared" ref="AT40" si="55">+AT41+AT44</f>
        <v>70</v>
      </c>
      <c r="AU40" s="131">
        <f t="shared" ref="AU40:AV40" si="56">+AU41+AU44+AU45</f>
        <v>13994.877999999999</v>
      </c>
      <c r="AV40" s="131">
        <f t="shared" si="56"/>
        <v>84681.054000000004</v>
      </c>
      <c r="AW40" s="116">
        <f>AV40/AT40%</f>
        <v>120972.93428571431</v>
      </c>
      <c r="AX40" s="131">
        <f t="shared" ref="AX40" si="57">+AX41+AX44</f>
        <v>60</v>
      </c>
      <c r="AY40" s="131">
        <f t="shared" ref="AY40:AZ40" si="58">+AY41+AY44+AY45</f>
        <v>3672.134</v>
      </c>
      <c r="AZ40" s="131">
        <f t="shared" si="58"/>
        <v>15335.710000000001</v>
      </c>
      <c r="BA40" s="91">
        <f>AZ40/AX40%</f>
        <v>25559.51666666667</v>
      </c>
      <c r="BB40" s="131">
        <f t="shared" ref="BB40" si="59">+BB41+BB44</f>
        <v>105</v>
      </c>
      <c r="BC40" s="131">
        <f t="shared" ref="BC40:BD40" si="60">+BC41+BC44+BC45</f>
        <v>561.18200000000002</v>
      </c>
      <c r="BD40" s="131">
        <f t="shared" si="60"/>
        <v>22558.862000000001</v>
      </c>
      <c r="BE40" s="91">
        <f t="shared" si="18"/>
        <v>21484.630476190476</v>
      </c>
    </row>
    <row r="41" spans="1:57" x14ac:dyDescent="0.25">
      <c r="A41" s="132" t="s">
        <v>52</v>
      </c>
      <c r="B41" s="73">
        <v>3329510</v>
      </c>
      <c r="C41" s="73">
        <v>73233.639140729792</v>
      </c>
      <c r="D41" s="73">
        <v>2386921.3807697496</v>
      </c>
      <c r="E41" s="114">
        <f t="shared" si="37"/>
        <v>71.689869703642572</v>
      </c>
      <c r="F41" s="73">
        <f t="shared" si="2"/>
        <v>3329510</v>
      </c>
      <c r="G41" s="73">
        <f t="shared" si="3"/>
        <v>70718.298140729792</v>
      </c>
      <c r="H41" s="73">
        <f t="shared" si="4"/>
        <v>2380374.9687697496</v>
      </c>
      <c r="I41" s="114">
        <f t="shared" si="5"/>
        <v>71.493251822933402</v>
      </c>
      <c r="J41" s="73">
        <f>+N41+R41+V41+Z41+AD41+AH41+AL41+AP41+AT41+AX41+BB41</f>
        <v>0</v>
      </c>
      <c r="K41" s="73">
        <f>+O41+S41+W41+AA41+AE41+AI41+AM41+AQ41+AU41+AY41+BC41</f>
        <v>2515.3409999999999</v>
      </c>
      <c r="L41" s="73">
        <f>+P41+T41+X41+AB41+AF41+AJ41+AN41+AR41+AV41+AZ41+BD41</f>
        <v>6546.4120000000003</v>
      </c>
      <c r="M41" s="114"/>
      <c r="N41" s="73">
        <v>0</v>
      </c>
      <c r="O41" s="73"/>
      <c r="P41" s="73"/>
      <c r="Q41" s="114"/>
      <c r="R41" s="73">
        <v>0</v>
      </c>
      <c r="S41" s="73"/>
      <c r="T41" s="73"/>
      <c r="U41" s="114"/>
      <c r="V41" s="73">
        <v>0</v>
      </c>
      <c r="W41" s="73"/>
      <c r="X41" s="73"/>
      <c r="Y41" s="114"/>
      <c r="Z41" s="73">
        <v>0</v>
      </c>
      <c r="AA41" s="73"/>
      <c r="AB41" s="73"/>
      <c r="AC41" s="114"/>
      <c r="AD41" s="73">
        <v>0</v>
      </c>
      <c r="AE41" s="73"/>
      <c r="AF41" s="73"/>
      <c r="AG41" s="114"/>
      <c r="AH41" s="73">
        <v>0</v>
      </c>
      <c r="AI41" s="73"/>
      <c r="AJ41" s="73"/>
      <c r="AK41" s="114"/>
      <c r="AL41" s="73">
        <v>0</v>
      </c>
      <c r="AM41" s="73"/>
      <c r="AN41" s="73"/>
      <c r="AO41" s="114"/>
      <c r="AP41" s="73">
        <v>0</v>
      </c>
      <c r="AQ41" s="73"/>
      <c r="AR41" s="73"/>
      <c r="AS41" s="114"/>
      <c r="AT41" s="73">
        <v>0</v>
      </c>
      <c r="AU41" s="73">
        <v>2197.48</v>
      </c>
      <c r="AV41" s="73">
        <v>5959.1379999999999</v>
      </c>
      <c r="AW41" s="114"/>
      <c r="AX41" s="73">
        <v>0</v>
      </c>
      <c r="AY41" s="73">
        <v>317.86099999999999</v>
      </c>
      <c r="AZ41" s="73">
        <v>317.86099999999999</v>
      </c>
      <c r="BA41" s="114"/>
      <c r="BB41" s="73">
        <v>0</v>
      </c>
      <c r="BC41" s="73"/>
      <c r="BD41" s="73">
        <v>269.41300000000001</v>
      </c>
      <c r="BE41" s="114"/>
    </row>
    <row r="42" spans="1:57" hidden="1" x14ac:dyDescent="0.25">
      <c r="A42" s="132" t="s">
        <v>53</v>
      </c>
      <c r="B42" s="73"/>
      <c r="C42" s="73"/>
      <c r="D42" s="73"/>
      <c r="E42" s="114" t="e">
        <f t="shared" si="37"/>
        <v>#DIV/0!</v>
      </c>
      <c r="F42" s="73">
        <f t="shared" si="2"/>
        <v>0</v>
      </c>
      <c r="G42" s="73">
        <f t="shared" si="3"/>
        <v>0</v>
      </c>
      <c r="H42" s="73">
        <f t="shared" si="4"/>
        <v>0</v>
      </c>
      <c r="I42" s="114"/>
      <c r="J42" s="73">
        <f>+N42+R42+V42+Z42+AD42+AH42+AL42+AP42+AT42+AX42+BB42</f>
        <v>0</v>
      </c>
      <c r="K42" s="73">
        <f>+O42+S42+W42+AA42+AE42+AI42+AM42+AQ42+AU42+AY42+BC42</f>
        <v>0</v>
      </c>
      <c r="L42" s="73">
        <f>+P42+T42+X42+AB42+AF42+AJ42+AN42+AR42+AV42+AZ42+BD42</f>
        <v>0</v>
      </c>
      <c r="M42" s="114"/>
      <c r="N42" s="73"/>
      <c r="O42" s="73"/>
      <c r="P42" s="73"/>
      <c r="Q42" s="114"/>
      <c r="R42" s="73"/>
      <c r="S42" s="73"/>
      <c r="T42" s="73"/>
      <c r="U42" s="114"/>
      <c r="V42" s="73"/>
      <c r="W42" s="73"/>
      <c r="X42" s="73"/>
      <c r="Y42" s="114"/>
      <c r="Z42" s="73"/>
      <c r="AA42" s="73"/>
      <c r="AB42" s="73"/>
      <c r="AC42" s="114"/>
      <c r="AD42" s="73"/>
      <c r="AE42" s="73"/>
      <c r="AF42" s="73"/>
      <c r="AG42" s="114"/>
      <c r="AH42" s="73"/>
      <c r="AI42" s="73"/>
      <c r="AJ42" s="73"/>
      <c r="AK42" s="114"/>
      <c r="AL42" s="73"/>
      <c r="AM42" s="73"/>
      <c r="AN42" s="73"/>
      <c r="AO42" s="114"/>
      <c r="AP42" s="73"/>
      <c r="AQ42" s="73"/>
      <c r="AR42" s="73"/>
      <c r="AS42" s="114"/>
      <c r="AT42" s="73"/>
      <c r="AU42" s="73"/>
      <c r="AV42" s="73"/>
      <c r="AW42" s="114"/>
      <c r="AX42" s="73"/>
      <c r="AY42" s="73"/>
      <c r="AZ42" s="73"/>
      <c r="BA42" s="114"/>
      <c r="BB42" s="73"/>
      <c r="BC42" s="73"/>
      <c r="BD42" s="73"/>
      <c r="BE42" s="114"/>
    </row>
    <row r="43" spans="1:57" hidden="1" x14ac:dyDescent="0.25">
      <c r="A43" s="132" t="s">
        <v>54</v>
      </c>
      <c r="B43" s="73"/>
      <c r="C43" s="73"/>
      <c r="D43" s="73"/>
      <c r="E43" s="114" t="e">
        <f t="shared" si="37"/>
        <v>#DIV/0!</v>
      </c>
      <c r="F43" s="73">
        <f t="shared" si="2"/>
        <v>0</v>
      </c>
      <c r="G43" s="73">
        <f t="shared" si="3"/>
        <v>0</v>
      </c>
      <c r="H43" s="73">
        <f t="shared" si="4"/>
        <v>0</v>
      </c>
      <c r="I43" s="114" t="e">
        <f t="shared" si="5"/>
        <v>#DIV/0!</v>
      </c>
      <c r="J43" s="73">
        <f>+N43+R43+V43+Z43+AD43+AH43+AL43+AP43+AT43+AX43+BB43</f>
        <v>0</v>
      </c>
      <c r="K43" s="73">
        <f>+O43+S43+W43+AA43+AE43+AI43+AM43+AQ43+AU43+AY43+BC43</f>
        <v>0</v>
      </c>
      <c r="L43" s="73">
        <f>+P43+T43+X43+AB43+AF43+AJ43+AN43+AR43+AV43+AZ43+BD43</f>
        <v>0</v>
      </c>
      <c r="M43" s="114" t="e">
        <f t="shared" si="6"/>
        <v>#DIV/0!</v>
      </c>
      <c r="N43" s="73"/>
      <c r="O43" s="73"/>
      <c r="P43" s="73"/>
      <c r="Q43" s="114" t="e">
        <f>P43/N43%</f>
        <v>#DIV/0!</v>
      </c>
      <c r="R43" s="73"/>
      <c r="S43" s="73"/>
      <c r="T43" s="73"/>
      <c r="U43" s="114" t="e">
        <f>T43/R43%</f>
        <v>#DIV/0!</v>
      </c>
      <c r="V43" s="73"/>
      <c r="W43" s="73"/>
      <c r="X43" s="73"/>
      <c r="Y43" s="114" t="e">
        <f>X43/V43%</f>
        <v>#DIV/0!</v>
      </c>
      <c r="Z43" s="73"/>
      <c r="AA43" s="73"/>
      <c r="AB43" s="73"/>
      <c r="AC43" s="114" t="e">
        <f>AB43/Z43%</f>
        <v>#DIV/0!</v>
      </c>
      <c r="AD43" s="73"/>
      <c r="AE43" s="73"/>
      <c r="AF43" s="73"/>
      <c r="AG43" s="114" t="e">
        <f>AF43/AD43%</f>
        <v>#DIV/0!</v>
      </c>
      <c r="AH43" s="73"/>
      <c r="AI43" s="73"/>
      <c r="AJ43" s="73"/>
      <c r="AK43" s="114" t="e">
        <f>AJ43/AH43%</f>
        <v>#DIV/0!</v>
      </c>
      <c r="AL43" s="73"/>
      <c r="AM43" s="73"/>
      <c r="AN43" s="73"/>
      <c r="AO43" s="114" t="e">
        <f>AN43/AL43%</f>
        <v>#DIV/0!</v>
      </c>
      <c r="AP43" s="73"/>
      <c r="AQ43" s="73"/>
      <c r="AR43" s="73"/>
      <c r="AS43" s="114" t="e">
        <f>AR43/AP43%</f>
        <v>#DIV/0!</v>
      </c>
      <c r="AT43" s="73"/>
      <c r="AU43" s="73"/>
      <c r="AV43" s="73"/>
      <c r="AW43" s="114" t="e">
        <f>AV43/AT43%</f>
        <v>#DIV/0!</v>
      </c>
      <c r="AX43" s="73"/>
      <c r="AY43" s="73"/>
      <c r="AZ43" s="73"/>
      <c r="BA43" s="114" t="e">
        <f>AZ43/AX43%</f>
        <v>#DIV/0!</v>
      </c>
      <c r="BB43" s="73"/>
      <c r="BC43" s="73"/>
      <c r="BD43" s="73"/>
      <c r="BE43" s="114" t="e">
        <f t="shared" si="18"/>
        <v>#DIV/0!</v>
      </c>
    </row>
    <row r="44" spans="1:57" x14ac:dyDescent="0.25">
      <c r="A44" s="132" t="s">
        <v>55</v>
      </c>
      <c r="B44" s="73">
        <v>70473</v>
      </c>
      <c r="C44" s="73">
        <v>5872.75</v>
      </c>
      <c r="D44" s="73">
        <v>46982</v>
      </c>
      <c r="E44" s="114">
        <f t="shared" si="37"/>
        <v>66.666666666666671</v>
      </c>
      <c r="F44" s="73">
        <f t="shared" si="2"/>
        <v>69369</v>
      </c>
      <c r="G44" s="73">
        <f t="shared" si="3"/>
        <v>5872.75</v>
      </c>
      <c r="H44" s="73">
        <f t="shared" si="4"/>
        <v>46982</v>
      </c>
      <c r="I44" s="114">
        <f t="shared" si="5"/>
        <v>67.727659329095118</v>
      </c>
      <c r="J44" s="73">
        <f>+N44+R44+V44+Z44+AD44+AH44+AL44+AP44+AT44+AX44+BB44</f>
        <v>1104</v>
      </c>
      <c r="K44" s="73">
        <f>+O44+S44+W44+AA44+AE44+AI44+AM44+AQ44+AU44+AY44+BC44</f>
        <v>0</v>
      </c>
      <c r="L44" s="73">
        <f>+P44+T44+X44+AB44+AF44+AJ44+AN44+AR44+AV44+AZ44+BD44</f>
        <v>0</v>
      </c>
      <c r="M44" s="114">
        <f>L44/J44%</f>
        <v>0</v>
      </c>
      <c r="N44" s="73">
        <v>120</v>
      </c>
      <c r="O44" s="73"/>
      <c r="P44" s="73"/>
      <c r="Q44" s="114">
        <f t="shared" ref="Q44" si="61">P44/N44%</f>
        <v>0</v>
      </c>
      <c r="R44" s="73">
        <v>120</v>
      </c>
      <c r="S44" s="73"/>
      <c r="T44" s="73"/>
      <c r="U44" s="114">
        <f>T44/R44%</f>
        <v>0</v>
      </c>
      <c r="V44" s="73">
        <v>105</v>
      </c>
      <c r="W44" s="73"/>
      <c r="X44" s="73"/>
      <c r="Y44" s="114">
        <f t="shared" ref="Y44" si="62">X44/V44%</f>
        <v>0</v>
      </c>
      <c r="Z44" s="73">
        <v>120</v>
      </c>
      <c r="AA44" s="73"/>
      <c r="AB44" s="73"/>
      <c r="AC44" s="114">
        <f>AB44/Z44%</f>
        <v>0</v>
      </c>
      <c r="AD44" s="73">
        <v>82</v>
      </c>
      <c r="AE44" s="73"/>
      <c r="AF44" s="73"/>
      <c r="AG44" s="114">
        <f>AF44/AD44%</f>
        <v>0</v>
      </c>
      <c r="AH44" s="73">
        <v>120</v>
      </c>
      <c r="AI44" s="73"/>
      <c r="AJ44" s="73"/>
      <c r="AK44" s="114">
        <f>AJ44/AH44%</f>
        <v>0</v>
      </c>
      <c r="AL44" s="73">
        <v>120</v>
      </c>
      <c r="AM44" s="73"/>
      <c r="AN44" s="73"/>
      <c r="AO44" s="114">
        <f>AN44/AL44%</f>
        <v>0</v>
      </c>
      <c r="AP44" s="73">
        <v>82</v>
      </c>
      <c r="AQ44" s="73"/>
      <c r="AR44" s="73"/>
      <c r="AS44" s="114">
        <f>AR44/AP44%</f>
        <v>0</v>
      </c>
      <c r="AT44" s="73">
        <v>70</v>
      </c>
      <c r="AU44" s="73"/>
      <c r="AV44" s="73"/>
      <c r="AW44" s="114">
        <f>AV44/AT44%</f>
        <v>0</v>
      </c>
      <c r="AX44" s="73">
        <v>60</v>
      </c>
      <c r="AY44" s="73"/>
      <c r="AZ44" s="73"/>
      <c r="BA44" s="114">
        <f>AZ44/AX44%</f>
        <v>0</v>
      </c>
      <c r="BB44" s="73">
        <v>105</v>
      </c>
      <c r="BC44" s="73"/>
      <c r="BD44" s="73"/>
      <c r="BE44" s="114">
        <f t="shared" si="18"/>
        <v>0</v>
      </c>
    </row>
    <row r="45" spans="1:57" x14ac:dyDescent="0.25">
      <c r="A45" s="132" t="s">
        <v>120</v>
      </c>
      <c r="B45" s="73">
        <v>609011</v>
      </c>
      <c r="C45" s="73">
        <f>+C46+C47</f>
        <v>63913.717937199966</v>
      </c>
      <c r="D45" s="73">
        <f>+D46+D47</f>
        <v>314814.72876849998</v>
      </c>
      <c r="E45" s="114">
        <f t="shared" si="37"/>
        <v>51.692782029963332</v>
      </c>
      <c r="F45" s="73">
        <f t="shared" si="2"/>
        <v>609011</v>
      </c>
      <c r="G45" s="73">
        <f t="shared" si="3"/>
        <v>29003.279937199964</v>
      </c>
      <c r="H45" s="73">
        <f t="shared" si="4"/>
        <v>62999.304768500006</v>
      </c>
      <c r="I45" s="114">
        <f t="shared" si="5"/>
        <v>10.344526579733373</v>
      </c>
      <c r="J45" s="73">
        <f>+N45+R45+V45+Z45+AD45+AH45+AL45+AP45+AT45+AX45+BB45</f>
        <v>0</v>
      </c>
      <c r="K45" s="73">
        <f>+O45+S45+W45+AA45+AE45+AI45+AM45+AQ45+AU45+AY45+BC45</f>
        <v>34910.438000000002</v>
      </c>
      <c r="L45" s="73">
        <f>+P45+T45+X45+AB45+AF45+AJ45+AN45+AR45+AV45+AZ45+BD45</f>
        <v>251815.42399999997</v>
      </c>
      <c r="M45" s="114"/>
      <c r="N45" s="73"/>
      <c r="O45" s="73">
        <f>+O46+O47</f>
        <v>1249.259</v>
      </c>
      <c r="P45" s="73">
        <f>+P46+P47</f>
        <v>3559.556</v>
      </c>
      <c r="Q45" s="114"/>
      <c r="R45" s="73"/>
      <c r="S45" s="73">
        <f>+S46+S47</f>
        <v>10</v>
      </c>
      <c r="T45" s="73">
        <f>+T46+T47</f>
        <v>746.87700000000007</v>
      </c>
      <c r="U45" s="114"/>
      <c r="V45" s="73"/>
      <c r="W45" s="73">
        <f>+W46+W47</f>
        <v>2080.3740000000003</v>
      </c>
      <c r="X45" s="73">
        <f>+X46+X47</f>
        <v>16380.199000000001</v>
      </c>
      <c r="Y45" s="114"/>
      <c r="Z45" s="73"/>
      <c r="AA45" s="73">
        <f>+AA46+AA47</f>
        <v>6539.1949999999997</v>
      </c>
      <c r="AB45" s="73">
        <f>+AB46+AB47</f>
        <v>36338.807000000001</v>
      </c>
      <c r="AC45" s="114"/>
      <c r="AD45" s="73"/>
      <c r="AE45" s="73">
        <f>+AE46+AE47</f>
        <v>2069.527</v>
      </c>
      <c r="AF45" s="73">
        <f>+AF46+AF47</f>
        <v>20458.531999999999</v>
      </c>
      <c r="AG45" s="114"/>
      <c r="AH45" s="73"/>
      <c r="AI45" s="73">
        <f>+AI46+AI47</f>
        <v>1645.5990000000002</v>
      </c>
      <c r="AJ45" s="73">
        <f>+AJ46+AJ47</f>
        <v>16231.694</v>
      </c>
      <c r="AK45" s="114"/>
      <c r="AL45" s="73"/>
      <c r="AM45" s="73">
        <f>+AM46+AM47</f>
        <v>5012.8819999999996</v>
      </c>
      <c r="AN45" s="73">
        <f>+AN46+AN47</f>
        <v>27177.231000000003</v>
      </c>
      <c r="AO45" s="114"/>
      <c r="AP45" s="73"/>
      <c r="AQ45" s="73">
        <f>+AQ46+AQ47</f>
        <v>590.74900000000002</v>
      </c>
      <c r="AR45" s="73">
        <f>+AR46+AR47</f>
        <v>14893.313999999998</v>
      </c>
      <c r="AS45" s="114"/>
      <c r="AT45" s="73"/>
      <c r="AU45" s="73">
        <f>+AU46+AU47</f>
        <v>11797.397999999999</v>
      </c>
      <c r="AV45" s="73">
        <f>+AV46+AV47</f>
        <v>78721.915999999997</v>
      </c>
      <c r="AW45" s="114"/>
      <c r="AX45" s="73"/>
      <c r="AY45" s="73">
        <f>+AY46+AY47</f>
        <v>3354.2730000000001</v>
      </c>
      <c r="AZ45" s="73">
        <f>+AZ46+AZ47</f>
        <v>15017.849</v>
      </c>
      <c r="BA45" s="114"/>
      <c r="BB45" s="73"/>
      <c r="BC45" s="73">
        <f>+BC46+BC47</f>
        <v>561.18200000000002</v>
      </c>
      <c r="BD45" s="73">
        <f>+BD46+BD47</f>
        <v>22289.449000000001</v>
      </c>
      <c r="BE45" s="114"/>
    </row>
    <row r="46" spans="1:57" x14ac:dyDescent="0.25">
      <c r="A46" s="132" t="s">
        <v>78</v>
      </c>
      <c r="B46" s="73">
        <v>356782</v>
      </c>
      <c r="C46" s="73">
        <v>38021.471937199967</v>
      </c>
      <c r="D46" s="73">
        <v>234619.76376849998</v>
      </c>
      <c r="E46" s="114">
        <f t="shared" si="37"/>
        <v>65.759977736685144</v>
      </c>
      <c r="F46" s="73">
        <f t="shared" si="2"/>
        <v>356782</v>
      </c>
      <c r="G46" s="73">
        <f t="shared" si="3"/>
        <v>15194.341937199963</v>
      </c>
      <c r="H46" s="73">
        <f t="shared" si="4"/>
        <v>36103.547768499964</v>
      </c>
      <c r="I46" s="114">
        <f t="shared" si="5"/>
        <v>10.119217832878329</v>
      </c>
      <c r="J46" s="73">
        <f>+N46+R46+V46+Z46+AD46+AH46+AL46+AP46+AT46+AX46+BB46</f>
        <v>0</v>
      </c>
      <c r="K46" s="73">
        <f>+O46+S46+W46+AA46+AE46+AI46+AM46+AQ46+AU46+AY46+BC46</f>
        <v>22827.130000000005</v>
      </c>
      <c r="L46" s="73">
        <f>+P46+T46+X46+AB46+AF46+AJ46+AN46+AR46+AV46+AZ46+BD46</f>
        <v>198516.21600000001</v>
      </c>
      <c r="M46" s="114"/>
      <c r="N46" s="73"/>
      <c r="O46" s="73">
        <v>97.009</v>
      </c>
      <c r="P46" s="73">
        <f>1592.104+O46</f>
        <v>1689.1130000000001</v>
      </c>
      <c r="Q46" s="114"/>
      <c r="R46" s="73"/>
      <c r="S46" s="73">
        <v>0</v>
      </c>
      <c r="T46" s="73">
        <v>7.4409999999999998</v>
      </c>
      <c r="U46" s="114"/>
      <c r="V46" s="73"/>
      <c r="W46" s="73">
        <v>197.11699999999999</v>
      </c>
      <c r="X46" s="73">
        <f>12255.052+W46</f>
        <v>12452.169</v>
      </c>
      <c r="Y46" s="114"/>
      <c r="Z46" s="73"/>
      <c r="AA46" s="73">
        <v>4702.7719999999999</v>
      </c>
      <c r="AB46" s="73">
        <f>21461.71+AA46</f>
        <v>26164.482</v>
      </c>
      <c r="AC46" s="114"/>
      <c r="AD46" s="73"/>
      <c r="AE46" s="73">
        <v>1921.683</v>
      </c>
      <c r="AF46" s="73">
        <f>15384.222+AE46</f>
        <v>17305.904999999999</v>
      </c>
      <c r="AG46" s="114"/>
      <c r="AH46" s="73"/>
      <c r="AI46" s="73">
        <v>1525.171</v>
      </c>
      <c r="AJ46" s="73">
        <f>10270.886+AI46</f>
        <v>11796.057000000001</v>
      </c>
      <c r="AK46" s="114"/>
      <c r="AL46" s="73"/>
      <c r="AM46" s="73">
        <v>2943.7020000000002</v>
      </c>
      <c r="AN46" s="73">
        <f>18832.615+AM46</f>
        <v>21776.317000000003</v>
      </c>
      <c r="AO46" s="114"/>
      <c r="AP46" s="73"/>
      <c r="AQ46" s="73">
        <v>265.77300000000002</v>
      </c>
      <c r="AR46" s="73">
        <f>9805.796+AQ46</f>
        <v>10071.569</v>
      </c>
      <c r="AS46" s="114"/>
      <c r="AT46" s="73"/>
      <c r="AU46" s="73">
        <v>9845.982</v>
      </c>
      <c r="AV46" s="73">
        <f>61799.985+AU46</f>
        <v>71645.967000000004</v>
      </c>
      <c r="AW46" s="114"/>
      <c r="AX46" s="73"/>
      <c r="AY46" s="73">
        <v>1259.788</v>
      </c>
      <c r="AZ46" s="73">
        <f>9098.998+AY46</f>
        <v>10358.786</v>
      </c>
      <c r="BA46" s="114"/>
      <c r="BB46" s="73"/>
      <c r="BC46" s="73">
        <v>68.132999999999996</v>
      </c>
      <c r="BD46" s="73">
        <f>15180.277+BC46</f>
        <v>15248.41</v>
      </c>
      <c r="BE46" s="114"/>
    </row>
    <row r="47" spans="1:57" x14ac:dyDescent="0.25">
      <c r="A47" s="133" t="s">
        <v>79</v>
      </c>
      <c r="B47" s="77">
        <v>252229</v>
      </c>
      <c r="C47" s="77">
        <v>25892.245999999999</v>
      </c>
      <c r="D47" s="77">
        <v>80194.964999999997</v>
      </c>
      <c r="E47" s="117">
        <f t="shared" si="37"/>
        <v>31.794506182873498</v>
      </c>
      <c r="F47" s="77">
        <f t="shared" si="2"/>
        <v>252229</v>
      </c>
      <c r="G47" s="77">
        <f t="shared" si="3"/>
        <v>13808.937999999998</v>
      </c>
      <c r="H47" s="77">
        <f t="shared" si="4"/>
        <v>26895.756999999998</v>
      </c>
      <c r="I47" s="117">
        <f t="shared" si="5"/>
        <v>10.663229446257171</v>
      </c>
      <c r="J47" s="77">
        <f>+N47+R47+V47+Z47+AD47+AH47+AL47+AP47+AT47+AX47+BB47</f>
        <v>0</v>
      </c>
      <c r="K47" s="77">
        <f>+O47+S47+W47+AA47+AE47+AI47+AM47+AQ47+AU47+AY47+BC47</f>
        <v>12083.308000000001</v>
      </c>
      <c r="L47" s="77">
        <f>+P47+T47+X47+AB47+AF47+AJ47+AN47+AR47+AV47+AZ47+BD47</f>
        <v>53299.207999999999</v>
      </c>
      <c r="M47" s="117"/>
      <c r="N47" s="77"/>
      <c r="O47" s="77">
        <v>1152.25</v>
      </c>
      <c r="P47" s="77">
        <v>1870.443</v>
      </c>
      <c r="Q47" s="117"/>
      <c r="R47" s="77"/>
      <c r="S47" s="77">
        <v>10</v>
      </c>
      <c r="T47" s="77">
        <v>739.43600000000004</v>
      </c>
      <c r="U47" s="117"/>
      <c r="V47" s="77"/>
      <c r="W47" s="77">
        <v>1883.2570000000001</v>
      </c>
      <c r="X47" s="77">
        <v>3928.03</v>
      </c>
      <c r="Y47" s="117"/>
      <c r="Z47" s="77"/>
      <c r="AA47" s="77">
        <v>1836.423</v>
      </c>
      <c r="AB47" s="77">
        <v>10174.325000000001</v>
      </c>
      <c r="AC47" s="117"/>
      <c r="AD47" s="77"/>
      <c r="AE47" s="77">
        <v>147.84399999999999</v>
      </c>
      <c r="AF47" s="77">
        <v>3152.627</v>
      </c>
      <c r="AG47" s="117"/>
      <c r="AH47" s="77"/>
      <c r="AI47" s="77">
        <v>120.428</v>
      </c>
      <c r="AJ47" s="77">
        <v>4435.6369999999997</v>
      </c>
      <c r="AK47" s="117"/>
      <c r="AL47" s="77"/>
      <c r="AM47" s="77">
        <v>2069.1799999999998</v>
      </c>
      <c r="AN47" s="77">
        <v>5400.9139999999998</v>
      </c>
      <c r="AO47" s="117"/>
      <c r="AP47" s="77"/>
      <c r="AQ47" s="77">
        <v>324.976</v>
      </c>
      <c r="AR47" s="77">
        <v>4821.7449999999999</v>
      </c>
      <c r="AS47" s="117"/>
      <c r="AT47" s="77"/>
      <c r="AU47" s="77">
        <v>1951.4159999999999</v>
      </c>
      <c r="AV47" s="77">
        <v>7075.9489999999996</v>
      </c>
      <c r="AW47" s="117"/>
      <c r="AX47" s="77"/>
      <c r="AY47" s="77">
        <v>2094.4850000000001</v>
      </c>
      <c r="AZ47" s="77">
        <v>4659.0630000000001</v>
      </c>
      <c r="BA47" s="117"/>
      <c r="BB47" s="77"/>
      <c r="BC47" s="77">
        <v>493.04899999999998</v>
      </c>
      <c r="BD47" s="77">
        <v>7041.0389999999998</v>
      </c>
      <c r="BE47" s="117"/>
    </row>
    <row r="48" spans="1:57" x14ac:dyDescent="0.25"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</row>
  </sheetData>
  <mergeCells count="17">
    <mergeCell ref="BB4:BE4"/>
    <mergeCell ref="V4:Y4"/>
    <mergeCell ref="Z4:AC4"/>
    <mergeCell ref="AD4:AG4"/>
    <mergeCell ref="AH4:AK4"/>
    <mergeCell ref="AL4:AO4"/>
    <mergeCell ref="AP4:AS4"/>
    <mergeCell ref="R4:U4"/>
    <mergeCell ref="B2:M2"/>
    <mergeCell ref="L3:M3"/>
    <mergeCell ref="AT4:AW4"/>
    <mergeCell ref="AX4:BA4"/>
    <mergeCell ref="A4:A5"/>
    <mergeCell ref="B4:E4"/>
    <mergeCell ref="F4:I4"/>
    <mergeCell ref="J4:M4"/>
    <mergeCell ref="N4:Q4"/>
  </mergeCells>
  <pageMargins left="0.24" right="0.16" top="0.75" bottom="0.75" header="0.3" footer="0.3"/>
  <pageSetup paperSize="9" scale="77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thu </vt:lpstr>
      <vt:lpstr>chi (2)</vt:lpstr>
      <vt:lpstr>thu ĐB</vt:lpstr>
      <vt:lpstr>chi ĐB</vt:lpstr>
      <vt:lpstr>'chi (2)'!Print_Titles</vt:lpstr>
      <vt:lpstr>'chi ĐB'!Print_Titles</vt:lpstr>
      <vt:lpstr>'thu ĐB'!Print_Titles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2024-09-09T10:35:36Z</dcterms:modified>
</cp:coreProperties>
</file>