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 yWindow="-108" windowWidth="19416" windowHeight="10296" tabRatio="880" activeTab="8"/>
  </bookViews>
  <sheets>
    <sheet name="Bieu 5" sheetId="30" r:id="rId1"/>
    <sheet name="Bieu 6" sheetId="32" r:id="rId2"/>
    <sheet name="Bieu 7" sheetId="33" r:id="rId3"/>
    <sheet name="Bieu 8" sheetId="34" r:id="rId4"/>
    <sheet name="Bieu 9" sheetId="59" r:id="rId5"/>
    <sheet name="Bieu 10" sheetId="60" r:id="rId6"/>
    <sheet name="Bieu 11" sheetId="39" r:id="rId7"/>
    <sheet name="Bieu 12" sheetId="41" r:id="rId8"/>
    <sheet name="Bieu 13" sheetId="42" r:id="rId9"/>
  </sheets>
  <definedNames>
    <definedName name="chuong_phuluc_30" localSheetId="0">'Bieu 5'!$F$1</definedName>
    <definedName name="chuong_phuluc_30_name" localSheetId="0">'Bieu 5'!$A$2</definedName>
    <definedName name="chuong_phuluc_32" localSheetId="1">'Bieu 6'!$P$1</definedName>
    <definedName name="chuong_phuluc_32_name" localSheetId="1">'Bieu 6'!$A$2</definedName>
    <definedName name="chuong_phuluc_33" localSheetId="2">'Bieu 7'!$E$1</definedName>
    <definedName name="chuong_phuluc_33_name" localSheetId="2">'Bieu 7'!$A$2</definedName>
    <definedName name="chuong_phuluc_34_name" localSheetId="3">'Bieu 8'!$A$2</definedName>
    <definedName name="chuong_phuluc_39" localSheetId="6">'Bieu 11'!$J$1</definedName>
    <definedName name="chuong_phuluc_39_name" localSheetId="6">'Bieu 11'!$A$2</definedName>
    <definedName name="chuong_phuluc_41" localSheetId="7">'Bieu 12'!#REF!</definedName>
    <definedName name="chuong_phuluc_41_name" localSheetId="7">'Bieu 12'!$A$2</definedName>
    <definedName name="chuong_phuluc_42" localSheetId="8">'Bieu 13'!#REF!</definedName>
    <definedName name="chuong_phuluc_42_name" localSheetId="8">'Bieu 13'!$A$2</definedName>
    <definedName name="_xlnm.Print_Area" localSheetId="7">'Bieu 12'!$A$1:$K$65</definedName>
    <definedName name="_xlnm.Print_Area" localSheetId="0">'Bieu 5'!$A$1:$G$33</definedName>
    <definedName name="_xlnm.Print_Area" localSheetId="1">'Bieu 6'!$A$1:$P$62</definedName>
    <definedName name="_xlnm.Print_Area" localSheetId="2">'Bieu 7'!$A$1:$E$29</definedName>
    <definedName name="_xlnm.Print_Area" localSheetId="3">'Bieu 8'!$A$1:$C$29</definedName>
    <definedName name="_xlnm.Print_Titles" localSheetId="6">'Bieu 11'!$5:$8</definedName>
    <definedName name="_xlnm.Print_Titles" localSheetId="7">'Bieu 12'!$5:$9</definedName>
    <definedName name="_xlnm.Print_Titles" localSheetId="8">'Bieu 13'!$5:$5</definedName>
    <definedName name="_xlnm.Print_Titles" localSheetId="1">'Bieu 6'!$5:$6</definedName>
  </definedNames>
  <calcPr calcId="144525"/>
</workbook>
</file>

<file path=xl/calcChain.xml><?xml version="1.0" encoding="utf-8"?>
<calcChain xmlns="http://schemas.openxmlformats.org/spreadsheetml/2006/main">
  <c r="C96" i="60" l="1"/>
  <c r="C95" i="60"/>
  <c r="C94" i="60"/>
  <c r="C93" i="60"/>
  <c r="C92" i="60"/>
  <c r="C91" i="60"/>
  <c r="C90" i="60"/>
  <c r="C89" i="60"/>
  <c r="C88" i="60"/>
  <c r="T87" i="60"/>
  <c r="S87" i="60"/>
  <c r="R87" i="60"/>
  <c r="Q87" i="60"/>
  <c r="P87" i="60"/>
  <c r="O87" i="60"/>
  <c r="N87" i="60"/>
  <c r="M87" i="60"/>
  <c r="L87" i="60"/>
  <c r="K87" i="60"/>
  <c r="J87" i="60"/>
  <c r="I87" i="60"/>
  <c r="H87" i="60"/>
  <c r="G87" i="60"/>
  <c r="F87" i="60"/>
  <c r="E87" i="60"/>
  <c r="D87" i="60"/>
  <c r="C87" i="60"/>
  <c r="C86" i="60"/>
  <c r="C85" i="60"/>
  <c r="C84" i="60"/>
  <c r="C83" i="60"/>
  <c r="C82" i="60"/>
  <c r="C81" i="60"/>
  <c r="C80" i="60"/>
  <c r="C79" i="60"/>
  <c r="C77" i="60" s="1"/>
  <c r="C78" i="60"/>
  <c r="T77" i="60"/>
  <c r="S77" i="60"/>
  <c r="R77" i="60"/>
  <c r="Q77" i="60"/>
  <c r="P77" i="60"/>
  <c r="O77" i="60"/>
  <c r="N77" i="60"/>
  <c r="M77" i="60"/>
  <c r="L77" i="60"/>
  <c r="K77" i="60"/>
  <c r="J77" i="60"/>
  <c r="I77" i="60"/>
  <c r="H77" i="60"/>
  <c r="G77" i="60"/>
  <c r="F77" i="60"/>
  <c r="E77" i="60"/>
  <c r="D77" i="60"/>
  <c r="C76" i="60"/>
  <c r="C74" i="60" s="1"/>
  <c r="C75" i="60"/>
  <c r="S74" i="60"/>
  <c r="R74" i="60"/>
  <c r="Q74" i="60"/>
  <c r="P74" i="60"/>
  <c r="O74" i="60"/>
  <c r="N74" i="60"/>
  <c r="M74" i="60"/>
  <c r="L74" i="60"/>
  <c r="K74" i="60"/>
  <c r="J74" i="60"/>
  <c r="I74" i="60"/>
  <c r="H74" i="60"/>
  <c r="G74" i="60"/>
  <c r="F74" i="60"/>
  <c r="E74" i="60"/>
  <c r="D74" i="60"/>
  <c r="C73" i="60"/>
  <c r="C72" i="60"/>
  <c r="C70" i="60" s="1"/>
  <c r="C71" i="60"/>
  <c r="S70" i="60"/>
  <c r="R70" i="60"/>
  <c r="Q70" i="60"/>
  <c r="P70" i="60"/>
  <c r="O70" i="60"/>
  <c r="N70" i="60"/>
  <c r="M70" i="60"/>
  <c r="L70" i="60"/>
  <c r="K70" i="60"/>
  <c r="J70" i="60"/>
  <c r="I70" i="60"/>
  <c r="H70" i="60"/>
  <c r="G70" i="60"/>
  <c r="F70" i="60"/>
  <c r="E70" i="60"/>
  <c r="E13" i="60" s="1"/>
  <c r="D70" i="60"/>
  <c r="C69" i="60"/>
  <c r="C68" i="60"/>
  <c r="C67" i="60"/>
  <c r="C66" i="60"/>
  <c r="C65" i="60"/>
  <c r="C64" i="60"/>
  <c r="C63" i="60"/>
  <c r="C62" i="60"/>
  <c r="C61" i="60"/>
  <c r="C60" i="60"/>
  <c r="C59" i="60"/>
  <c r="C58" i="60"/>
  <c r="C57" i="60"/>
  <c r="C56" i="60"/>
  <c r="C55" i="60"/>
  <c r="C54" i="60"/>
  <c r="C53" i="60"/>
  <c r="C52" i="60"/>
  <c r="C51" i="60"/>
  <c r="C50" i="60"/>
  <c r="C49" i="60"/>
  <c r="C48" i="60"/>
  <c r="C47" i="60"/>
  <c r="C46" i="60"/>
  <c r="S45" i="60"/>
  <c r="R45" i="60"/>
  <c r="Q45" i="60"/>
  <c r="P45" i="60"/>
  <c r="O45" i="60"/>
  <c r="C45" i="60" s="1"/>
  <c r="M45" i="60"/>
  <c r="K45" i="60"/>
  <c r="I45" i="60"/>
  <c r="H45" i="60"/>
  <c r="D45" i="60"/>
  <c r="C44" i="60"/>
  <c r="C43" i="60"/>
  <c r="C42" i="60"/>
  <c r="C41" i="60"/>
  <c r="D40" i="60"/>
  <c r="C40" i="60"/>
  <c r="P39" i="60"/>
  <c r="C39" i="60" s="1"/>
  <c r="M39" i="60"/>
  <c r="P38" i="60"/>
  <c r="C38" i="60" s="1"/>
  <c r="M38" i="60"/>
  <c r="C37" i="60"/>
  <c r="C36" i="60"/>
  <c r="C35" i="60"/>
  <c r="Q34" i="60"/>
  <c r="C34" i="60"/>
  <c r="Q33" i="60"/>
  <c r="P33" i="60"/>
  <c r="C33" i="60" s="1"/>
  <c r="M33" i="60"/>
  <c r="D33" i="60"/>
  <c r="C32" i="60"/>
  <c r="Q31" i="60"/>
  <c r="P31" i="60"/>
  <c r="O31" i="60"/>
  <c r="M31" i="60"/>
  <c r="C31" i="60" s="1"/>
  <c r="L31" i="60"/>
  <c r="D31" i="60"/>
  <c r="C30" i="60"/>
  <c r="Q29" i="60"/>
  <c r="P29" i="60"/>
  <c r="M29" i="60"/>
  <c r="K29" i="60"/>
  <c r="I29" i="60"/>
  <c r="I14" i="60" s="1"/>
  <c r="I13" i="60" s="1"/>
  <c r="D29" i="60"/>
  <c r="C29" i="60"/>
  <c r="C28" i="60"/>
  <c r="Q27" i="60"/>
  <c r="H27" i="60"/>
  <c r="H14" i="60" s="1"/>
  <c r="H13" i="60" s="1"/>
  <c r="D27" i="60"/>
  <c r="C27" i="60" s="1"/>
  <c r="Q26" i="60"/>
  <c r="D26" i="60"/>
  <c r="C26" i="60"/>
  <c r="C25" i="60"/>
  <c r="Q24" i="60"/>
  <c r="P24" i="60"/>
  <c r="P14" i="60" s="1"/>
  <c r="P13" i="60" s="1"/>
  <c r="P12" i="60" s="1"/>
  <c r="M24" i="60"/>
  <c r="D24" i="60"/>
  <c r="S23" i="60"/>
  <c r="Q23" i="60"/>
  <c r="C23" i="60" s="1"/>
  <c r="P23" i="60"/>
  <c r="M23" i="60"/>
  <c r="Q22" i="60"/>
  <c r="P22" i="60"/>
  <c r="M22" i="60"/>
  <c r="D22" i="60"/>
  <c r="D14" i="60" s="1"/>
  <c r="D13" i="60" s="1"/>
  <c r="C22" i="60"/>
  <c r="Q21" i="60"/>
  <c r="M21" i="60"/>
  <c r="C21" i="60"/>
  <c r="Q20" i="60"/>
  <c r="C20" i="60" s="1"/>
  <c r="M20" i="60"/>
  <c r="C19" i="60"/>
  <c r="C18" i="60"/>
  <c r="U29" i="60" s="1"/>
  <c r="C17" i="60"/>
  <c r="Q16" i="60"/>
  <c r="Q14" i="60" s="1"/>
  <c r="Q13" i="60" s="1"/>
  <c r="M16" i="60"/>
  <c r="M14" i="60" s="1"/>
  <c r="M13" i="60" s="1"/>
  <c r="C16" i="60"/>
  <c r="C15" i="60"/>
  <c r="T14" i="60"/>
  <c r="S14" i="60"/>
  <c r="S13" i="60" s="1"/>
  <c r="R14" i="60"/>
  <c r="R13" i="60" s="1"/>
  <c r="O14" i="60"/>
  <c r="O13" i="60" s="1"/>
  <c r="O12" i="60" s="1"/>
  <c r="N14" i="60"/>
  <c r="N13" i="60" s="1"/>
  <c r="N12" i="60" s="1"/>
  <c r="L14" i="60"/>
  <c r="K14" i="60"/>
  <c r="K13" i="60" s="1"/>
  <c r="J14" i="60"/>
  <c r="J13" i="60" s="1"/>
  <c r="G14" i="60"/>
  <c r="G13" i="60" s="1"/>
  <c r="F14" i="60"/>
  <c r="F13" i="60" s="1"/>
  <c r="E14" i="60"/>
  <c r="T13" i="60"/>
  <c r="T12" i="60" s="1"/>
  <c r="L13" i="60"/>
  <c r="L12" i="60" s="1"/>
  <c r="R6" i="60"/>
  <c r="Q6" i="60" s="1"/>
  <c r="C5" i="60"/>
  <c r="L4" i="60"/>
  <c r="G9" i="59"/>
  <c r="K9" i="59"/>
  <c r="D10" i="59"/>
  <c r="C10" i="59" s="1"/>
  <c r="E10" i="59"/>
  <c r="E9" i="59" s="1"/>
  <c r="G10" i="59"/>
  <c r="H10" i="59"/>
  <c r="H9" i="59" s="1"/>
  <c r="H8" i="59" s="1"/>
  <c r="I10" i="59"/>
  <c r="I9" i="59" s="1"/>
  <c r="I8" i="59" s="1"/>
  <c r="J10" i="59"/>
  <c r="K10" i="59"/>
  <c r="L10" i="59"/>
  <c r="L9" i="59" s="1"/>
  <c r="L8" i="59" s="1"/>
  <c r="C11" i="59"/>
  <c r="F12" i="59"/>
  <c r="F10" i="59" s="1"/>
  <c r="C13" i="59"/>
  <c r="C14" i="59"/>
  <c r="C15" i="59"/>
  <c r="F16" i="59"/>
  <c r="C16" i="59" s="1"/>
  <c r="C17" i="59"/>
  <c r="F17" i="59"/>
  <c r="F18" i="59"/>
  <c r="C18" i="59" s="1"/>
  <c r="C19" i="59"/>
  <c r="F19" i="59"/>
  <c r="F20" i="59"/>
  <c r="C20" i="59" s="1"/>
  <c r="C21" i="59"/>
  <c r="F22" i="59"/>
  <c r="C22" i="59" s="1"/>
  <c r="F23" i="59"/>
  <c r="C23" i="59" s="1"/>
  <c r="C24" i="59"/>
  <c r="F25" i="59"/>
  <c r="C25" i="59" s="1"/>
  <c r="C26" i="59"/>
  <c r="F27" i="59"/>
  <c r="C27" i="59" s="1"/>
  <c r="C28" i="59"/>
  <c r="C29" i="59"/>
  <c r="F29" i="59"/>
  <c r="F30" i="59"/>
  <c r="C30" i="59" s="1"/>
  <c r="C31" i="59"/>
  <c r="C32" i="59"/>
  <c r="C33" i="59"/>
  <c r="F34" i="59"/>
  <c r="C34" i="59" s="1"/>
  <c r="F35" i="59"/>
  <c r="C35" i="59" s="1"/>
  <c r="F36" i="59"/>
  <c r="C36" i="59" s="1"/>
  <c r="C37" i="59"/>
  <c r="C38" i="59"/>
  <c r="C39" i="59"/>
  <c r="C40" i="59"/>
  <c r="E41" i="59"/>
  <c r="C41" i="59" s="1"/>
  <c r="F41" i="59"/>
  <c r="C42" i="59"/>
  <c r="D43" i="59"/>
  <c r="C43" i="59" s="1"/>
  <c r="E43" i="59"/>
  <c r="F43" i="59"/>
  <c r="G43" i="59"/>
  <c r="H43" i="59"/>
  <c r="I43" i="59"/>
  <c r="J43" i="59"/>
  <c r="K43" i="59"/>
  <c r="L43" i="59"/>
  <c r="C44" i="59"/>
  <c r="C45" i="59"/>
  <c r="C46" i="59"/>
  <c r="C47" i="59"/>
  <c r="C48" i="59"/>
  <c r="C49" i="59"/>
  <c r="C50" i="59"/>
  <c r="C51" i="59"/>
  <c r="C52" i="59"/>
  <c r="C53" i="59"/>
  <c r="C54" i="59"/>
  <c r="C55" i="59"/>
  <c r="C56" i="59"/>
  <c r="C57" i="59"/>
  <c r="C58" i="59"/>
  <c r="C59" i="59"/>
  <c r="C60" i="59"/>
  <c r="C61" i="59"/>
  <c r="C62" i="59"/>
  <c r="C63" i="59"/>
  <c r="C64" i="59"/>
  <c r="C65" i="59"/>
  <c r="D66" i="59"/>
  <c r="E66" i="59"/>
  <c r="G66" i="59"/>
  <c r="H66" i="59"/>
  <c r="I66" i="59"/>
  <c r="J66" i="59"/>
  <c r="K66" i="59"/>
  <c r="L66" i="59"/>
  <c r="F67" i="59"/>
  <c r="C67" i="59" s="1"/>
  <c r="C68" i="59"/>
  <c r="C69" i="59"/>
  <c r="D70" i="59"/>
  <c r="C70" i="59" s="1"/>
  <c r="E70" i="59"/>
  <c r="F70" i="59"/>
  <c r="G70" i="59"/>
  <c r="H70" i="59"/>
  <c r="I70" i="59"/>
  <c r="J70" i="59"/>
  <c r="K70" i="59"/>
  <c r="L70" i="59"/>
  <c r="C71" i="59"/>
  <c r="C72" i="59"/>
  <c r="D73" i="59"/>
  <c r="E73" i="59"/>
  <c r="F73" i="59"/>
  <c r="G73" i="59"/>
  <c r="H73" i="59"/>
  <c r="I73" i="59"/>
  <c r="K73" i="59"/>
  <c r="L73" i="59"/>
  <c r="C74" i="59"/>
  <c r="C75" i="59"/>
  <c r="C76" i="59"/>
  <c r="C77" i="59"/>
  <c r="L78" i="59"/>
  <c r="J78" i="59" s="1"/>
  <c r="C79" i="59"/>
  <c r="J79" i="59"/>
  <c r="J80" i="59"/>
  <c r="C80" i="59" s="1"/>
  <c r="C81" i="59"/>
  <c r="J81" i="59"/>
  <c r="J82" i="59"/>
  <c r="C82" i="59" s="1"/>
  <c r="C83" i="59"/>
  <c r="C84" i="59"/>
  <c r="C85" i="59"/>
  <c r="D86" i="59"/>
  <c r="D8" i="59" s="1"/>
  <c r="H86" i="59"/>
  <c r="L86" i="59"/>
  <c r="D87" i="59"/>
  <c r="C87" i="59" s="1"/>
  <c r="C88" i="59"/>
  <c r="C89" i="59"/>
  <c r="D90" i="59"/>
  <c r="E90" i="59"/>
  <c r="E86" i="59" s="1"/>
  <c r="F90" i="59"/>
  <c r="F86" i="59" s="1"/>
  <c r="H90" i="59"/>
  <c r="I90" i="59"/>
  <c r="I86" i="59" s="1"/>
  <c r="J90" i="59"/>
  <c r="J86" i="59" s="1"/>
  <c r="L90" i="59"/>
  <c r="C91" i="59"/>
  <c r="D92" i="59"/>
  <c r="E92" i="59"/>
  <c r="F92" i="59"/>
  <c r="G92" i="59"/>
  <c r="C92" i="59" s="1"/>
  <c r="H92" i="59"/>
  <c r="I92" i="59"/>
  <c r="J92" i="59"/>
  <c r="K92" i="59"/>
  <c r="K90" i="59" s="1"/>
  <c r="K86" i="59" s="1"/>
  <c r="L92" i="59"/>
  <c r="C93" i="59"/>
  <c r="C94" i="59"/>
  <c r="C95" i="59"/>
  <c r="C96" i="59"/>
  <c r="C97" i="59"/>
  <c r="C98" i="59"/>
  <c r="C99" i="59"/>
  <c r="C100" i="59"/>
  <c r="J101" i="59"/>
  <c r="C101" i="59" s="1"/>
  <c r="C102" i="59"/>
  <c r="J12" i="60" l="1"/>
  <c r="J4" i="60"/>
  <c r="K4" i="60"/>
  <c r="K12" i="60"/>
  <c r="R4" i="60"/>
  <c r="R12" i="60"/>
  <c r="C14" i="60"/>
  <c r="C13" i="60" s="1"/>
  <c r="C12" i="60" s="1"/>
  <c r="D4" i="60"/>
  <c r="D12" i="60"/>
  <c r="F4" i="60"/>
  <c r="F12" i="60"/>
  <c r="S4" i="60"/>
  <c r="S12" i="60"/>
  <c r="M4" i="60"/>
  <c r="M12" i="60"/>
  <c r="H12" i="60"/>
  <c r="H4" i="60"/>
  <c r="E4" i="60"/>
  <c r="E12" i="60"/>
  <c r="G12" i="60"/>
  <c r="G4" i="60"/>
  <c r="Q12" i="60"/>
  <c r="Q4" i="60"/>
  <c r="I12" i="60"/>
  <c r="I4" i="60"/>
  <c r="C24" i="60"/>
  <c r="T4" i="60"/>
  <c r="C66" i="59"/>
  <c r="K8" i="59"/>
  <c r="C78" i="59"/>
  <c r="J73" i="59"/>
  <c r="J9" i="59" s="1"/>
  <c r="C73" i="59"/>
  <c r="F9" i="59"/>
  <c r="F8" i="59" s="1"/>
  <c r="M8" i="59" s="1"/>
  <c r="E8" i="59"/>
  <c r="G90" i="59"/>
  <c r="G86" i="59" s="1"/>
  <c r="G8" i="59" s="1"/>
  <c r="C12" i="59"/>
  <c r="F66" i="59"/>
  <c r="C12" i="34"/>
  <c r="J8" i="59" l="1"/>
  <c r="C9" i="59"/>
  <c r="C90" i="59"/>
  <c r="C86" i="59"/>
  <c r="C8" i="59"/>
  <c r="E18" i="30"/>
  <c r="E16" i="30"/>
  <c r="C10" i="34" l="1"/>
  <c r="K12" i="41" l="1"/>
  <c r="K13" i="41"/>
  <c r="K14" i="41"/>
  <c r="K15" i="41"/>
  <c r="K16" i="41"/>
  <c r="K17" i="41"/>
  <c r="K18" i="41"/>
  <c r="K19" i="41"/>
  <c r="K20" i="41"/>
  <c r="K21" i="41"/>
  <c r="K22" i="41"/>
  <c r="K23" i="41"/>
  <c r="K24" i="41"/>
  <c r="K25" i="41"/>
  <c r="K26" i="41"/>
  <c r="K27" i="41"/>
  <c r="K28" i="41"/>
  <c r="K29" i="41"/>
  <c r="K30" i="41"/>
  <c r="K31" i="41"/>
  <c r="K32" i="41"/>
  <c r="K33" i="41"/>
  <c r="K34" i="41"/>
  <c r="K35" i="41"/>
  <c r="K36" i="41"/>
  <c r="K37" i="41"/>
  <c r="K38" i="41"/>
  <c r="K39" i="41"/>
  <c r="K40" i="41"/>
  <c r="K41" i="41"/>
  <c r="K42" i="41"/>
  <c r="K43" i="41"/>
  <c r="K44" i="41"/>
  <c r="K45" i="41"/>
  <c r="K46" i="41"/>
  <c r="K47" i="41"/>
  <c r="K48" i="41"/>
  <c r="K49" i="41"/>
  <c r="K50" i="41"/>
  <c r="K51" i="41"/>
  <c r="K52" i="41"/>
  <c r="K53" i="41"/>
  <c r="K54" i="41"/>
  <c r="K55" i="41"/>
  <c r="K56" i="41"/>
  <c r="K57" i="41"/>
  <c r="K58" i="41"/>
  <c r="K59" i="41"/>
  <c r="K60" i="41"/>
  <c r="K61" i="41"/>
  <c r="K62" i="41"/>
  <c r="K63" i="41"/>
  <c r="K64" i="41"/>
  <c r="K11" i="41"/>
  <c r="D27" i="33"/>
  <c r="C22" i="39" l="1"/>
  <c r="C30" i="39"/>
  <c r="C38" i="39"/>
  <c r="C46" i="39"/>
  <c r="C54" i="39"/>
  <c r="C62" i="39"/>
  <c r="C12" i="32"/>
  <c r="C14" i="39" s="1"/>
  <c r="C13" i="32"/>
  <c r="C15" i="39" s="1"/>
  <c r="C14" i="32"/>
  <c r="C16" i="39" s="1"/>
  <c r="C20" i="32"/>
  <c r="C21" i="32"/>
  <c r="C23" i="39" s="1"/>
  <c r="C22" i="32"/>
  <c r="C24" i="39" s="1"/>
  <c r="C28" i="32"/>
  <c r="C29" i="32"/>
  <c r="C31" i="39" s="1"/>
  <c r="C30" i="32"/>
  <c r="C32" i="39" s="1"/>
  <c r="C36" i="32"/>
  <c r="C37" i="32"/>
  <c r="C39" i="39" s="1"/>
  <c r="C38" i="32"/>
  <c r="C40" i="39" s="1"/>
  <c r="C44" i="32"/>
  <c r="C45" i="32"/>
  <c r="C47" i="39" s="1"/>
  <c r="C46" i="32"/>
  <c r="C48" i="39" s="1"/>
  <c r="C52" i="32"/>
  <c r="C53" i="32"/>
  <c r="C55" i="39" s="1"/>
  <c r="C54" i="32"/>
  <c r="C56" i="39" s="1"/>
  <c r="C60" i="32"/>
  <c r="C61" i="32"/>
  <c r="C63" i="39" s="1"/>
  <c r="C8" i="32"/>
  <c r="C10" i="39" s="1"/>
  <c r="D9" i="32"/>
  <c r="C9" i="32" s="1"/>
  <c r="C11" i="39" s="1"/>
  <c r="D10" i="32"/>
  <c r="C10" i="32" s="1"/>
  <c r="C12" i="39" s="1"/>
  <c r="D11" i="32"/>
  <c r="C11" i="32" s="1"/>
  <c r="C13" i="39" s="1"/>
  <c r="D12" i="32"/>
  <c r="D13" i="32"/>
  <c r="D14" i="32"/>
  <c r="D15" i="32"/>
  <c r="C15" i="32" s="1"/>
  <c r="C17" i="39" s="1"/>
  <c r="D16" i="32"/>
  <c r="C16" i="32" s="1"/>
  <c r="C18" i="39" s="1"/>
  <c r="D17" i="32"/>
  <c r="C17" i="32" s="1"/>
  <c r="C19" i="39" s="1"/>
  <c r="D18" i="32"/>
  <c r="C18" i="32" s="1"/>
  <c r="C20" i="39" s="1"/>
  <c r="D19" i="32"/>
  <c r="C19" i="32" s="1"/>
  <c r="C21" i="39" s="1"/>
  <c r="D20" i="32"/>
  <c r="D21" i="32"/>
  <c r="D22" i="32"/>
  <c r="D23" i="32"/>
  <c r="C23" i="32" s="1"/>
  <c r="C25" i="39" s="1"/>
  <c r="D24" i="32"/>
  <c r="C24" i="32" s="1"/>
  <c r="C26" i="39" s="1"/>
  <c r="D25" i="32"/>
  <c r="C25" i="32" s="1"/>
  <c r="C27" i="39" s="1"/>
  <c r="D26" i="32"/>
  <c r="C26" i="32" s="1"/>
  <c r="C28" i="39" s="1"/>
  <c r="D27" i="32"/>
  <c r="C27" i="32" s="1"/>
  <c r="C29" i="39" s="1"/>
  <c r="D28" i="32"/>
  <c r="D29" i="32"/>
  <c r="D30" i="32"/>
  <c r="D31" i="32"/>
  <c r="C31" i="32" s="1"/>
  <c r="C33" i="39" s="1"/>
  <c r="D32" i="32"/>
  <c r="C32" i="32" s="1"/>
  <c r="C34" i="39" s="1"/>
  <c r="D33" i="32"/>
  <c r="C33" i="32" s="1"/>
  <c r="C35" i="39" s="1"/>
  <c r="D34" i="32"/>
  <c r="C34" i="32" s="1"/>
  <c r="C36" i="39" s="1"/>
  <c r="D35" i="32"/>
  <c r="C35" i="32" s="1"/>
  <c r="C37" i="39" s="1"/>
  <c r="D36" i="32"/>
  <c r="D37" i="32"/>
  <c r="D38" i="32"/>
  <c r="D39" i="32"/>
  <c r="C39" i="32" s="1"/>
  <c r="C41" i="39" s="1"/>
  <c r="D40" i="32"/>
  <c r="C40" i="32" s="1"/>
  <c r="C42" i="39" s="1"/>
  <c r="D41" i="32"/>
  <c r="C41" i="32" s="1"/>
  <c r="C43" i="39" s="1"/>
  <c r="D42" i="32"/>
  <c r="C42" i="32" s="1"/>
  <c r="C44" i="39" s="1"/>
  <c r="D43" i="32"/>
  <c r="C43" i="32" s="1"/>
  <c r="C45" i="39" s="1"/>
  <c r="D44" i="32"/>
  <c r="D45" i="32"/>
  <c r="D46" i="32"/>
  <c r="D47" i="32"/>
  <c r="C47" i="32" s="1"/>
  <c r="C49" i="39" s="1"/>
  <c r="D48" i="32"/>
  <c r="C48" i="32" s="1"/>
  <c r="C50" i="39" s="1"/>
  <c r="D49" i="32"/>
  <c r="C49" i="32" s="1"/>
  <c r="C51" i="39" s="1"/>
  <c r="D50" i="32"/>
  <c r="C50" i="32" s="1"/>
  <c r="C52" i="39" s="1"/>
  <c r="D51" i="32"/>
  <c r="C51" i="32" s="1"/>
  <c r="C53" i="39" s="1"/>
  <c r="D52" i="32"/>
  <c r="D53" i="32"/>
  <c r="D54" i="32"/>
  <c r="D55" i="32"/>
  <c r="C55" i="32" s="1"/>
  <c r="C57" i="39" s="1"/>
  <c r="D56" i="32"/>
  <c r="C56" i="32" s="1"/>
  <c r="C58" i="39" s="1"/>
  <c r="D57" i="32"/>
  <c r="C57" i="32" s="1"/>
  <c r="C59" i="39" s="1"/>
  <c r="D58" i="32"/>
  <c r="C58" i="32" s="1"/>
  <c r="C60" i="39" s="1"/>
  <c r="D59" i="32"/>
  <c r="C59" i="32" s="1"/>
  <c r="C61" i="39" s="1"/>
  <c r="D60" i="32"/>
  <c r="D61" i="32"/>
  <c r="D8" i="32"/>
  <c r="C9" i="39" l="1"/>
  <c r="D7" i="32"/>
  <c r="C7" i="32"/>
  <c r="C6" i="42" l="1"/>
  <c r="F10" i="41" l="1"/>
  <c r="G10" i="41"/>
  <c r="H10" i="41"/>
  <c r="I10" i="41"/>
  <c r="J10" i="41"/>
  <c r="K10" i="41"/>
  <c r="E22" i="41"/>
  <c r="D22" i="41" s="1"/>
  <c r="C22" i="41" s="1"/>
  <c r="E23" i="41"/>
  <c r="D23" i="41" s="1"/>
  <c r="C23" i="41" s="1"/>
  <c r="E24" i="41"/>
  <c r="D24" i="41" s="1"/>
  <c r="C24" i="41" s="1"/>
  <c r="E25" i="41"/>
  <c r="D25" i="41" s="1"/>
  <c r="C25" i="41" s="1"/>
  <c r="E26" i="41"/>
  <c r="D26" i="41" s="1"/>
  <c r="C26" i="41" s="1"/>
  <c r="E27" i="41"/>
  <c r="D27" i="41" s="1"/>
  <c r="C27" i="41" s="1"/>
  <c r="E28" i="41"/>
  <c r="D28" i="41" s="1"/>
  <c r="C28" i="41" s="1"/>
  <c r="E29" i="41"/>
  <c r="D29" i="41" s="1"/>
  <c r="C29" i="41" s="1"/>
  <c r="E30" i="41"/>
  <c r="D30" i="41" s="1"/>
  <c r="C30" i="41" s="1"/>
  <c r="E31" i="41"/>
  <c r="D31" i="41" s="1"/>
  <c r="C31" i="41" s="1"/>
  <c r="E32" i="41"/>
  <c r="D32" i="41" s="1"/>
  <c r="C32" i="41" s="1"/>
  <c r="E33" i="41"/>
  <c r="D33" i="41" s="1"/>
  <c r="C33" i="41" s="1"/>
  <c r="E34" i="41"/>
  <c r="D34" i="41" s="1"/>
  <c r="C34" i="41" s="1"/>
  <c r="E35" i="41"/>
  <c r="D35" i="41" s="1"/>
  <c r="C35" i="41" s="1"/>
  <c r="E36" i="41"/>
  <c r="D36" i="41" s="1"/>
  <c r="C36" i="41" s="1"/>
  <c r="E37" i="41"/>
  <c r="D37" i="41" s="1"/>
  <c r="C37" i="41" s="1"/>
  <c r="E38" i="41"/>
  <c r="D38" i="41" s="1"/>
  <c r="C38" i="41" s="1"/>
  <c r="E39" i="41"/>
  <c r="D39" i="41" s="1"/>
  <c r="C39" i="41" s="1"/>
  <c r="E40" i="41"/>
  <c r="D40" i="41" s="1"/>
  <c r="C40" i="41" s="1"/>
  <c r="E41" i="41"/>
  <c r="D41" i="41" s="1"/>
  <c r="C41" i="41" s="1"/>
  <c r="E42" i="41"/>
  <c r="D42" i="41" s="1"/>
  <c r="C42" i="41" s="1"/>
  <c r="E43" i="41"/>
  <c r="D43" i="41" s="1"/>
  <c r="C43" i="41" s="1"/>
  <c r="E44" i="41"/>
  <c r="D44" i="41" s="1"/>
  <c r="C44" i="41" s="1"/>
  <c r="E45" i="41"/>
  <c r="D45" i="41" s="1"/>
  <c r="C45" i="41" s="1"/>
  <c r="E46" i="41"/>
  <c r="D46" i="41" s="1"/>
  <c r="C46" i="41" s="1"/>
  <c r="E47" i="41"/>
  <c r="D47" i="41" s="1"/>
  <c r="C47" i="41" s="1"/>
  <c r="E48" i="41"/>
  <c r="D48" i="41" s="1"/>
  <c r="C48" i="41" s="1"/>
  <c r="E49" i="41"/>
  <c r="D49" i="41" s="1"/>
  <c r="C49" i="41" s="1"/>
  <c r="E50" i="41"/>
  <c r="D50" i="41" s="1"/>
  <c r="C50" i="41" s="1"/>
  <c r="E51" i="41"/>
  <c r="D51" i="41" s="1"/>
  <c r="C51" i="41" s="1"/>
  <c r="E52" i="41"/>
  <c r="D52" i="41" s="1"/>
  <c r="C52" i="41" s="1"/>
  <c r="E53" i="41"/>
  <c r="D53" i="41" s="1"/>
  <c r="C53" i="41" s="1"/>
  <c r="E54" i="41"/>
  <c r="D54" i="41" s="1"/>
  <c r="C54" i="41" s="1"/>
  <c r="E55" i="41"/>
  <c r="D55" i="41" s="1"/>
  <c r="C55" i="41" s="1"/>
  <c r="E56" i="41"/>
  <c r="D56" i="41" s="1"/>
  <c r="C56" i="41" s="1"/>
  <c r="E57" i="41"/>
  <c r="D57" i="41" s="1"/>
  <c r="C57" i="41" s="1"/>
  <c r="E58" i="41"/>
  <c r="D58" i="41" s="1"/>
  <c r="C58" i="41" s="1"/>
  <c r="E59" i="41"/>
  <c r="D59" i="41" s="1"/>
  <c r="C59" i="41" s="1"/>
  <c r="E60" i="41"/>
  <c r="D60" i="41" s="1"/>
  <c r="C60" i="41" s="1"/>
  <c r="E61" i="41"/>
  <c r="D61" i="41" s="1"/>
  <c r="C61" i="41" s="1"/>
  <c r="E62" i="41"/>
  <c r="D62" i="41" s="1"/>
  <c r="C62" i="41" s="1"/>
  <c r="E63" i="41"/>
  <c r="D63" i="41" s="1"/>
  <c r="C63" i="41" s="1"/>
  <c r="E64" i="41"/>
  <c r="D64" i="41" s="1"/>
  <c r="C64" i="41" s="1"/>
  <c r="G21" i="39"/>
  <c r="G22" i="39"/>
  <c r="D22" i="39" s="1"/>
  <c r="J22" i="39" s="1"/>
  <c r="D23" i="39"/>
  <c r="J23" i="39" s="1"/>
  <c r="G23" i="39"/>
  <c r="G24" i="39"/>
  <c r="D24" i="39" s="1"/>
  <c r="J24" i="39" s="1"/>
  <c r="G25" i="39"/>
  <c r="D25" i="39" s="1"/>
  <c r="J25" i="39" s="1"/>
  <c r="G26" i="39"/>
  <c r="D26" i="39" s="1"/>
  <c r="J26" i="39" s="1"/>
  <c r="G27" i="39"/>
  <c r="D27" i="39" s="1"/>
  <c r="J27" i="39" s="1"/>
  <c r="G28" i="39"/>
  <c r="D28" i="39" s="1"/>
  <c r="J28" i="39" s="1"/>
  <c r="G29" i="39"/>
  <c r="D29" i="39" s="1"/>
  <c r="J29" i="39" s="1"/>
  <c r="G30" i="39"/>
  <c r="D30" i="39" s="1"/>
  <c r="J30" i="39" s="1"/>
  <c r="G31" i="39"/>
  <c r="D31" i="39" s="1"/>
  <c r="J31" i="39" s="1"/>
  <c r="G32" i="39"/>
  <c r="D32" i="39" s="1"/>
  <c r="J32" i="39" s="1"/>
  <c r="G33" i="39"/>
  <c r="D33" i="39" s="1"/>
  <c r="J33" i="39" s="1"/>
  <c r="G34" i="39"/>
  <c r="D34" i="39" s="1"/>
  <c r="J34" i="39" s="1"/>
  <c r="G35" i="39"/>
  <c r="D35" i="39" s="1"/>
  <c r="J35" i="39" s="1"/>
  <c r="G36" i="39"/>
  <c r="D36" i="39" s="1"/>
  <c r="J36" i="39" s="1"/>
  <c r="G37" i="39"/>
  <c r="D37" i="39" s="1"/>
  <c r="J37" i="39" s="1"/>
  <c r="G38" i="39"/>
  <c r="D38" i="39" s="1"/>
  <c r="J38" i="39" s="1"/>
  <c r="D39" i="39"/>
  <c r="J39" i="39" s="1"/>
  <c r="G39" i="39"/>
  <c r="G40" i="39"/>
  <c r="D40" i="39" s="1"/>
  <c r="J40" i="39" s="1"/>
  <c r="G41" i="39"/>
  <c r="D41" i="39" s="1"/>
  <c r="J41" i="39" s="1"/>
  <c r="G42" i="39"/>
  <c r="D42" i="39" s="1"/>
  <c r="J42" i="39" s="1"/>
  <c r="G43" i="39"/>
  <c r="D43" i="39" s="1"/>
  <c r="J43" i="39" s="1"/>
  <c r="G44" i="39"/>
  <c r="D44" i="39" s="1"/>
  <c r="J44" i="39" s="1"/>
  <c r="G45" i="39"/>
  <c r="D45" i="39" s="1"/>
  <c r="J45" i="39" s="1"/>
  <c r="G46" i="39"/>
  <c r="D46" i="39" s="1"/>
  <c r="J46" i="39" s="1"/>
  <c r="G47" i="39"/>
  <c r="D47" i="39" s="1"/>
  <c r="J47" i="39" s="1"/>
  <c r="G48" i="39"/>
  <c r="D48" i="39" s="1"/>
  <c r="J48" i="39" s="1"/>
  <c r="G49" i="39"/>
  <c r="D49" i="39" s="1"/>
  <c r="J49" i="39" s="1"/>
  <c r="G50" i="39"/>
  <c r="D50" i="39" s="1"/>
  <c r="J50" i="39" s="1"/>
  <c r="G51" i="39"/>
  <c r="D51" i="39" s="1"/>
  <c r="J51" i="39" s="1"/>
  <c r="G52" i="39"/>
  <c r="D52" i="39" s="1"/>
  <c r="J52" i="39" s="1"/>
  <c r="G53" i="39"/>
  <c r="D53" i="39" s="1"/>
  <c r="J53" i="39" s="1"/>
  <c r="G54" i="39"/>
  <c r="D54" i="39" s="1"/>
  <c r="J54" i="39" s="1"/>
  <c r="G55" i="39"/>
  <c r="D55" i="39" s="1"/>
  <c r="J55" i="39" s="1"/>
  <c r="G56" i="39"/>
  <c r="D56" i="39" s="1"/>
  <c r="J56" i="39" s="1"/>
  <c r="G57" i="39"/>
  <c r="D57" i="39" s="1"/>
  <c r="J57" i="39" s="1"/>
  <c r="G58" i="39"/>
  <c r="D58" i="39" s="1"/>
  <c r="J58" i="39" s="1"/>
  <c r="G59" i="39"/>
  <c r="D59" i="39" s="1"/>
  <c r="J59" i="39" s="1"/>
  <c r="G60" i="39"/>
  <c r="D60" i="39" s="1"/>
  <c r="J60" i="39" s="1"/>
  <c r="G61" i="39"/>
  <c r="D61" i="39" s="1"/>
  <c r="J61" i="39" s="1"/>
  <c r="G62" i="39"/>
  <c r="D62" i="39" s="1"/>
  <c r="J62" i="39" s="1"/>
  <c r="G63" i="39"/>
  <c r="D63" i="39" s="1"/>
  <c r="J63" i="39" s="1"/>
  <c r="I9" i="39"/>
  <c r="H9" i="39"/>
  <c r="F9" i="39"/>
  <c r="E9" i="39"/>
  <c r="E7" i="32"/>
  <c r="F7" i="32"/>
  <c r="G7" i="32"/>
  <c r="H7" i="32"/>
  <c r="I7" i="32"/>
  <c r="J7" i="32"/>
  <c r="K7" i="32"/>
  <c r="L7" i="32"/>
  <c r="M7" i="32"/>
  <c r="N7" i="32"/>
  <c r="O7" i="32"/>
  <c r="P7" i="32"/>
  <c r="D21" i="39" l="1"/>
  <c r="J21" i="39" l="1"/>
  <c r="C16" i="30" l="1"/>
  <c r="D16" i="30" l="1"/>
  <c r="E11" i="41" l="1"/>
  <c r="D11" i="41" l="1"/>
  <c r="C11" i="41" l="1"/>
  <c r="F29" i="30" l="1"/>
  <c r="G19" i="30"/>
  <c r="G20" i="30"/>
  <c r="F19" i="30"/>
  <c r="F20" i="30"/>
  <c r="G14" i="30" l="1"/>
  <c r="G13" i="30"/>
  <c r="G12" i="30"/>
  <c r="G10" i="30"/>
  <c r="F12" i="30"/>
  <c r="F13" i="30"/>
  <c r="F14" i="30"/>
  <c r="F21" i="30"/>
  <c r="F23" i="30"/>
  <c r="F25" i="30"/>
  <c r="F26" i="30"/>
  <c r="F27" i="30"/>
  <c r="F10" i="30"/>
  <c r="F18" i="30" l="1"/>
  <c r="G18" i="30"/>
  <c r="E17" i="30"/>
  <c r="C9" i="34" l="1"/>
  <c r="F16" i="30" l="1"/>
  <c r="G16" i="30"/>
  <c r="C11" i="33" l="1"/>
  <c r="N10" i="41" l="1"/>
  <c r="N13" i="41" s="1"/>
  <c r="D28" i="30" l="1"/>
  <c r="E28" i="30"/>
  <c r="C28" i="30"/>
  <c r="D11" i="30"/>
  <c r="D9" i="30" s="1"/>
  <c r="E11" i="30"/>
  <c r="C11" i="30"/>
  <c r="C9" i="30" s="1"/>
  <c r="D17" i="30"/>
  <c r="D15" i="30" s="1"/>
  <c r="E15" i="30"/>
  <c r="C17" i="30"/>
  <c r="C15" i="30" s="1"/>
  <c r="F28" i="30" l="1"/>
  <c r="G15" i="30"/>
  <c r="F15" i="30"/>
  <c r="F17" i="30"/>
  <c r="G17" i="30"/>
  <c r="E9" i="30"/>
  <c r="F11" i="30"/>
  <c r="G11" i="30"/>
  <c r="G9" i="30" l="1"/>
  <c r="F9" i="30"/>
  <c r="C20" i="33" l="1"/>
  <c r="D9" i="33"/>
  <c r="C8" i="34" l="1"/>
  <c r="E24" i="30"/>
  <c r="E22" i="30" l="1"/>
  <c r="E31" i="30" l="1"/>
  <c r="F31" i="30" s="1"/>
  <c r="E14" i="41"/>
  <c r="G13" i="39"/>
  <c r="D13" i="39" s="1"/>
  <c r="J13" i="39" s="1"/>
  <c r="D14" i="41" l="1"/>
  <c r="C14" i="41" s="1"/>
  <c r="C15" i="33"/>
  <c r="C6" i="34" l="1"/>
  <c r="D25" i="33" l="1"/>
  <c r="E10" i="33" l="1"/>
  <c r="E9" i="33" s="1"/>
  <c r="C17" i="33"/>
  <c r="C24" i="30" l="1"/>
  <c r="C22" i="30" s="1"/>
  <c r="E12" i="41" l="1"/>
  <c r="E13" i="41"/>
  <c r="E15" i="41"/>
  <c r="D15" i="41" s="1"/>
  <c r="E16" i="41"/>
  <c r="D16" i="41" s="1"/>
  <c r="E17" i="41"/>
  <c r="D17" i="41" s="1"/>
  <c r="E18" i="41"/>
  <c r="D18" i="41" s="1"/>
  <c r="E19" i="41"/>
  <c r="D19" i="41" s="1"/>
  <c r="E20" i="41"/>
  <c r="D20" i="41" s="1"/>
  <c r="E21" i="41"/>
  <c r="D21" i="41" s="1"/>
  <c r="O10" i="41"/>
  <c r="G11" i="39"/>
  <c r="D11" i="39" s="1"/>
  <c r="J11" i="39" s="1"/>
  <c r="G12" i="39"/>
  <c r="D12" i="39" s="1"/>
  <c r="J12" i="39" s="1"/>
  <c r="G14" i="39"/>
  <c r="D14" i="39" s="1"/>
  <c r="J14" i="39" s="1"/>
  <c r="G15" i="39"/>
  <c r="D15" i="39" s="1"/>
  <c r="J15" i="39" s="1"/>
  <c r="G16" i="39"/>
  <c r="D16" i="39" s="1"/>
  <c r="J16" i="39" s="1"/>
  <c r="G17" i="39"/>
  <c r="D17" i="39" s="1"/>
  <c r="J17" i="39" s="1"/>
  <c r="G18" i="39"/>
  <c r="G19" i="39"/>
  <c r="D19" i="39" s="1"/>
  <c r="J19" i="39" s="1"/>
  <c r="G20" i="39"/>
  <c r="D20" i="39" s="1"/>
  <c r="J20" i="39" s="1"/>
  <c r="G10" i="39"/>
  <c r="D18" i="39"/>
  <c r="J18" i="39" s="1"/>
  <c r="D12" i="41" l="1"/>
  <c r="E10" i="41"/>
  <c r="D13" i="41"/>
  <c r="C13" i="41" s="1"/>
  <c r="D10" i="39"/>
  <c r="G9" i="39"/>
  <c r="C19" i="41"/>
  <c r="C15" i="41"/>
  <c r="C18" i="41"/>
  <c r="C21" i="41"/>
  <c r="C17" i="41"/>
  <c r="C20" i="41"/>
  <c r="C16" i="41"/>
  <c r="C12" i="41" l="1"/>
  <c r="C10" i="41" s="1"/>
  <c r="D10" i="41"/>
  <c r="J10" i="39"/>
  <c r="J9" i="39" s="1"/>
  <c r="D9" i="39"/>
  <c r="D8" i="33"/>
  <c r="C22" i="33"/>
  <c r="C10" i="33" l="1"/>
  <c r="C9" i="33"/>
  <c r="C26" i="33" l="1"/>
  <c r="D24" i="30" l="1"/>
  <c r="D22" i="30" l="1"/>
  <c r="F24" i="30"/>
  <c r="F22" i="30" l="1"/>
  <c r="C31" i="30" l="1"/>
  <c r="C13" i="33" l="1"/>
  <c r="C14" i="33"/>
  <c r="C16" i="33"/>
  <c r="C18" i="33"/>
  <c r="C19" i="33"/>
  <c r="C21" i="33"/>
  <c r="C23" i="33"/>
  <c r="C24" i="33"/>
  <c r="C28" i="33"/>
  <c r="C27" i="33" l="1"/>
  <c r="E25" i="33"/>
  <c r="E8" i="33" s="1"/>
  <c r="C8" i="33" s="1"/>
  <c r="C25" i="33" l="1"/>
</calcChain>
</file>

<file path=xl/sharedStrings.xml><?xml version="1.0" encoding="utf-8"?>
<sst xmlns="http://schemas.openxmlformats.org/spreadsheetml/2006/main" count="687" uniqueCount="340">
  <si>
    <t>STT</t>
  </si>
  <si>
    <t>Nội dung</t>
  </si>
  <si>
    <t>A</t>
  </si>
  <si>
    <t>B</t>
  </si>
  <si>
    <t>-</t>
  </si>
  <si>
    <t>Đơn vị: Triệu đồng</t>
  </si>
  <si>
    <t>II</t>
  </si>
  <si>
    <t>III</t>
  </si>
  <si>
    <t>IV</t>
  </si>
  <si>
    <t>I</t>
  </si>
  <si>
    <t>Thu bổ sung có mục tiêu</t>
  </si>
  <si>
    <t>Chi thường xuyên</t>
  </si>
  <si>
    <t>V</t>
  </si>
  <si>
    <t>Tổng số</t>
  </si>
  <si>
    <t>TỔNG SỐ</t>
  </si>
  <si>
    <t>Trong đó:</t>
  </si>
  <si>
    <t>Tên đơn vị</t>
  </si>
  <si>
    <t>Tuyệt đối</t>
  </si>
  <si>
    <t>Tổng chi cân đối ngân sách địa phương</t>
  </si>
  <si>
    <t>Dự phòng ngân sách</t>
  </si>
  <si>
    <t>Thuế thu nhập cá nhân</t>
  </si>
  <si>
    <t>NGÂN SÁCH CẤP TỈNH</t>
  </si>
  <si>
    <t>Thu ngân sách được hưởng theo phân cấp</t>
  </si>
  <si>
    <t>Thu bổ sung từ ngân sách cấp trên</t>
  </si>
  <si>
    <t>Chi ngân sách</t>
  </si>
  <si>
    <t>Chi bổ sung cân đối ngân sách</t>
  </si>
  <si>
    <t>Chi bổ sung có mục tiêu</t>
  </si>
  <si>
    <t>Chi bổ sung cho ngân sách cấp dưới</t>
  </si>
  <si>
    <t>Thu NSĐP được hưởng theo phân cấp</t>
  </si>
  <si>
    <t>Thu NSĐP hưởng 100%</t>
  </si>
  <si>
    <t>Chi đầu tư phát triển</t>
  </si>
  <si>
    <t>Thu phí, lệ phí</t>
  </si>
  <si>
    <t>Tiền cho thuê đất, thuê mặt nước</t>
  </si>
  <si>
    <t>Thu khác ngân sách</t>
  </si>
  <si>
    <t>Tương đối (%)</t>
  </si>
  <si>
    <t>CHI CÂN ĐỐI NSĐP</t>
  </si>
  <si>
    <t>Chi đầu tư cho các dự án</t>
  </si>
  <si>
    <t>Chi giáo dục - đào tạo và dạy nghề</t>
  </si>
  <si>
    <t>Chi đầu tư từ nguồn thu tiền sử dụng đất</t>
  </si>
  <si>
    <t>Chi đầu tư và hỗ trợ vốn cho các doanh nghiệp cung cấp sản phẩm, dịch vụ công ích do Nhà nước đặt hàng, các tổ chức kinh tế, các tổ chức tài chính của địa phương theo quy định của pháp luật</t>
  </si>
  <si>
    <t>VI</t>
  </si>
  <si>
    <t>Lệ phí trước bạ</t>
  </si>
  <si>
    <t>Bao gồm</t>
  </si>
  <si>
    <t>Tổng thu NSNN trên địa bàn</t>
  </si>
  <si>
    <t>Ngân sách địa phương</t>
  </si>
  <si>
    <t>1=2+3</t>
  </si>
  <si>
    <t>Chi đầu tư từ nguồn thu xổ số kiến thiết</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</si>
  <si>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</si>
  <si>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</si>
  <si>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</si>
  <si>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</si>
  <si>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</si>
  <si>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</si>
  <si>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</si>
  <si>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</si>
  <si>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</si>
  <si>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Chi đầu tư từ nguồn vốn trong nước</t>
  </si>
  <si>
    <t>Chi giáo dục, đào tạo và dạy nghề</t>
  </si>
  <si>
    <t xml:space="preserve">Nguồn thu ngân sách </t>
  </si>
  <si>
    <t xml:space="preserve">Chi ngân sách </t>
  </si>
  <si>
    <t xml:space="preserve">Chi khoa học và công nghệ </t>
  </si>
  <si>
    <t>Dự toán</t>
  </si>
  <si>
    <t>Chia ra</t>
  </si>
  <si>
    <t>Số bổ sung cân đối từ ngân sách cấp trên</t>
  </si>
  <si>
    <t>Thu phân chia</t>
  </si>
  <si>
    <t>Trong đó: Phần NSĐP được hưởng</t>
  </si>
  <si>
    <t>Tổng chi ngân sách địa phương</t>
  </si>
  <si>
    <t>Bổ sung vốn sự nghiệp thực hiện các chế độ, chính sách, nhiệm vụ</t>
  </si>
  <si>
    <t xml:space="preserve">Ngân sách cấp tỉnh </t>
  </si>
  <si>
    <t xml:space="preserve">Chi bổ sung quỹ dự trữ tài chính </t>
  </si>
  <si>
    <t>So sánh (*)</t>
  </si>
  <si>
    <t xml:space="preserve">Chi đầu tư phát triển </t>
  </si>
  <si>
    <t xml:space="preserve">Chi thuộc nhiệm vụ của ngân sách cấp tỉnh </t>
  </si>
  <si>
    <t>Trong đó chi từ nguồn vốn:</t>
  </si>
  <si>
    <t xml:space="preserve">Chi bổ sung cho ngân sách cấp dưới </t>
  </si>
  <si>
    <t xml:space="preserve">Thu từ DNNN  địa phương </t>
  </si>
  <si>
    <t>Thuế sử dụng đất phi nông nghiệp</t>
  </si>
  <si>
    <t>Thu tiền sử dụng đất</t>
  </si>
  <si>
    <t xml:space="preserve">Trong đó: Thu nội địa </t>
  </si>
  <si>
    <t>BAO GỒM</t>
  </si>
  <si>
    <t>Chi đầu tư xây dựng cơ bản</t>
  </si>
  <si>
    <t>TỔNG CHI NGÂN SÁCH ĐỊA PHƯƠNG</t>
  </si>
  <si>
    <t>2=3+5</t>
  </si>
  <si>
    <t xml:space="preserve">Tên đơn vị </t>
  </si>
  <si>
    <t>1=2+9</t>
  </si>
  <si>
    <t>2=3+6+8</t>
  </si>
  <si>
    <t>3=4+5</t>
  </si>
  <si>
    <t xml:space="preserve">Thu từ DNNN  trung ương </t>
  </si>
  <si>
    <t>Chi thực hiện nhiệm vụ mục tiêu, chính sách khác</t>
  </si>
  <si>
    <t>Bội chi NSĐP/Bội thu NSĐP</t>
  </si>
  <si>
    <t xml:space="preserve">CHI BỔ SUNG CÂN ĐỐI CHO NGÂN SÁCH CẤP DƯỚI </t>
  </si>
  <si>
    <t xml:space="preserve"> Tổng chi cân đối NSĐP</t>
  </si>
  <si>
    <t>Thu từ khu vực kinh tế ngoài quốc doanh</t>
  </si>
  <si>
    <t>Thu từ quỹ đất công ích, hoa lợi công sản khác</t>
  </si>
  <si>
    <t>Chi nhiệm vụ mục tiêu khác từ vốn sự nghiệp</t>
  </si>
  <si>
    <t>Chi từ nguồn bội chi NSĐP</t>
  </si>
  <si>
    <t>CHI NSĐP TỪ NGUỒN BSCMT</t>
  </si>
  <si>
    <t>Chi chương trình mục tiêu quốc gia</t>
  </si>
  <si>
    <t>* Ghi chú: Mẫu theo quy định tại Nghị định số 31/2017/NĐ-CP ngày 23/3/2017 của Chính phủ ban hành quy chế lập, thẩm tra, quyết định kế hoạch tài chính 05 năm địa phương, kế hoạch đầu tư công trung hạn 05 năm địa phương, kế hoạch tài chính - ngân sách nhà nước 03 năm địa phương, dự toán và phân bổ ngân sách địa phương, phê chuẩn quyết toán ngân sách địa phương hàng năm</t>
  </si>
  <si>
    <t>Dự toán năm 2024</t>
  </si>
  <si>
    <t>Chi trả nợ lãi các khoản do chính quyền địa phương vay</t>
  </si>
  <si>
    <t xml:space="preserve"> Nguồn thực hiện CCTL </t>
  </si>
  <si>
    <t>Nguồn thực hiện cải cách tiền lương</t>
  </si>
  <si>
    <t>Thu bổ sung cân đối ngân sách</t>
  </si>
  <si>
    <t>* Ghi chú:</t>
  </si>
  <si>
    <t xml:space="preserve"> - Mẫu theo quy định tại Nghị định số 31/2017/NĐ-CP ngày 23/3/2017 của Chính phủ ban hành quy chế lập, thẩm tra, quyết định kế hoạch tài chính 05 năm địa phương, kế hoạch đầu tư công trung hạn 05 năm địa phương, kế hoạch tài chính - ngân sách nhà nước 03 năm địa phương, dự toán và phân bổ ngân sách địa phương, phê chuẩn quyết toán ngân sách địa phương hàng năm</t>
  </si>
  <si>
    <t>8=2+6+7</t>
  </si>
  <si>
    <t xml:space="preserve"> - Nguồn CCTL sẽ xác định chính thức căn cứ vào kết quả thẩm định CCTL</t>
  </si>
  <si>
    <t xml:space="preserve"> + Trong đó: Chi đầu tư khác (cấp vốn ủy thác qua NHCSXH)</t>
  </si>
  <si>
    <t>Nhiệm vụ phân giới cắm mốc</t>
  </si>
  <si>
    <t>Ước thực hiện năm 2024</t>
  </si>
  <si>
    <t>Dự toán năm 2025</t>
  </si>
  <si>
    <t>Thu tiền cho thuê và bán nhà ở thuộc SHNN</t>
  </si>
  <si>
    <t>DỰ TOÁN CHI NGÂN SÁCH CẤP TỈNH THEO LĨNH VỰC NĂM 2025</t>
  </si>
  <si>
    <t>lệch 1</t>
  </si>
  <si>
    <t>* Ghi chú: 
 - Mẫu theo quy định tại Nghị định số 31/2017/NĐ-CP ngày 23/3/2017 của Chính phủ ban hành quy chế lập, thẩm tra, quyết định kế hoạch tài chính 05 năm địa phương, kế hoạch đầu tư công trung hạn 05 năm địa phương, kế hoạch tài chính - ngân sách nhà nước 03 năm địa phương, dự toán và phân bổ ngân sách địa phương, phê chuẩn quyết toán ngân sách địa phương hàng năm</t>
  </si>
  <si>
    <t>CHI CÂN ĐỐI NGÂN SÁCH CẤP TỈNH THEO LĨNH VỰC</t>
  </si>
  <si>
    <t>TỔNG CHI CÂN ĐỐI NGÂN SÁCH ĐỊA PHƯƠNG</t>
  </si>
  <si>
    <t>Chi Đối ứng 03 Chương trình mục tiêu quốc gia</t>
  </si>
  <si>
    <t>Phụ lục V</t>
  </si>
  <si>
    <t>Phụ lục VI</t>
  </si>
  <si>
    <t>Phụ lục VII</t>
  </si>
  <si>
    <t>Phụ lục VIII</t>
  </si>
  <si>
    <t>Phụ lục XI</t>
  </si>
  <si>
    <t>Phụ lục XII</t>
  </si>
  <si>
    <t>Phụ lục XIII</t>
  </si>
  <si>
    <t>NGÂN SÁCH XÃ</t>
  </si>
  <si>
    <t>Phường Long Xuyên</t>
  </si>
  <si>
    <t>Phường Bình Đức</t>
  </si>
  <si>
    <t>Phường Mỹ Thới</t>
  </si>
  <si>
    <t>Xã Mỹ Hòa Hưng</t>
  </si>
  <si>
    <t>Phường Châu Đốc</t>
  </si>
  <si>
    <t>Phường Vĩnh Tế</t>
  </si>
  <si>
    <t>Xã Tân An</t>
  </si>
  <si>
    <t>Xã Phú Tân</t>
  </si>
  <si>
    <t>Xã Phú An</t>
  </si>
  <si>
    <t>Xã Bình Thạnh Đông</t>
  </si>
  <si>
    <t>Xã Chợ Vàm</t>
  </si>
  <si>
    <t>Xã Hòa Lạc</t>
  </si>
  <si>
    <t>Xã Phú Lâm</t>
  </si>
  <si>
    <t>Xã Châu Phú</t>
  </si>
  <si>
    <t>Xã Mỹ Đức</t>
  </si>
  <si>
    <t>Xã Vĩnh Thạnh Trung</t>
  </si>
  <si>
    <t>Xã Bình Mỹ</t>
  </si>
  <si>
    <t>Xã Thạnh Mỹ Tây</t>
  </si>
  <si>
    <t>Xã An Châu</t>
  </si>
  <si>
    <t>Xã Bình Hòa</t>
  </si>
  <si>
    <t>Xã Cần Đăng</t>
  </si>
  <si>
    <t>Xã Vĩnh Hanh</t>
  </si>
  <si>
    <t>Xã Vĩnh An</t>
  </si>
  <si>
    <t>Xã Thoại Sơn</t>
  </si>
  <si>
    <t>Xã Óc Eo</t>
  </si>
  <si>
    <t>Xã Định Mỹ</t>
  </si>
  <si>
    <t>Xã Phú Hòa</t>
  </si>
  <si>
    <t>Xã Vĩnh Trạch</t>
  </si>
  <si>
    <t>Xã Tây Phú</t>
  </si>
  <si>
    <t>Xã Ba Chúc</t>
  </si>
  <si>
    <t>Xã Tri Tôn</t>
  </si>
  <si>
    <t>Xã Ô Lâm</t>
  </si>
  <si>
    <t>Xã Cô Tô</t>
  </si>
  <si>
    <t>Xã Vĩnh Gia</t>
  </si>
  <si>
    <t>Phường Tịnh Biên</t>
  </si>
  <si>
    <t>Phường Thới Sơn</t>
  </si>
  <si>
    <t>Phường Chi Lăng</t>
  </si>
  <si>
    <t>Xã An Cư</t>
  </si>
  <si>
    <t>Xã An Phú</t>
  </si>
  <si>
    <t>Xã Vĩnh Hậu</t>
  </si>
  <si>
    <t>Xã Nhơn Hội</t>
  </si>
  <si>
    <t>Xã Khánh Bình</t>
  </si>
  <si>
    <t>Xã Phú Hữu</t>
  </si>
  <si>
    <t>Ngân sách xã</t>
  </si>
  <si>
    <r>
      <t xml:space="preserve">DỰ TOÁN CHI NGÂN SÁCH ĐỊA PHƯƠNG TỪNG </t>
    </r>
    <r>
      <rPr>
        <b/>
        <sz val="13"/>
        <color rgb="FFFF0000"/>
        <rFont val="Times New Roman"/>
        <family val="1"/>
      </rPr>
      <t xml:space="preserve">XÃ </t>
    </r>
    <r>
      <rPr>
        <b/>
        <sz val="13"/>
        <rFont val="Times New Roman"/>
        <family val="1"/>
      </rPr>
      <t>NĂM 2025</t>
    </r>
  </si>
  <si>
    <t xml:space="preserve">Phường Tân Châu </t>
  </si>
  <si>
    <t xml:space="preserve">Phường Long Phú </t>
  </si>
  <si>
    <t xml:space="preserve">Xã Châu Phong </t>
  </si>
  <si>
    <t xml:space="preserve">Xã Vĩnh Xương </t>
  </si>
  <si>
    <t>Xã Núi Cấm</t>
  </si>
  <si>
    <t>(Kèm theo Nghị quyết số       /NQ-HĐND ngày      tháng      năm 2025 của Hội đồng nhân dân tỉnh An Giang)</t>
  </si>
  <si>
    <t xml:space="preserve">Chi an ninh, quốc phòng </t>
  </si>
  <si>
    <t>Bội chi NSĐP/Bội thu NS xã</t>
  </si>
  <si>
    <t>Chi thuộc nhiệm vụ của ngân sách xã</t>
  </si>
  <si>
    <t>Xã  Chợ Mới</t>
  </si>
  <si>
    <t>Xã Long Điền</t>
  </si>
  <si>
    <t>Xã Hội An</t>
  </si>
  <si>
    <t>Xã Long Kiến</t>
  </si>
  <si>
    <t>Xã Nhơn Mỹ</t>
  </si>
  <si>
    <t>Xã Cù Lao Giêng</t>
  </si>
  <si>
    <t>Xã Chợ Mới</t>
  </si>
  <si>
    <t>Phụ lục IX</t>
  </si>
  <si>
    <t>DỰ TOÁN CHI NGÂN SÁCH CẤP TỈNH CHO TỪNG CƠ QUAN, TỔ CHỨC THEO LĨNH VỰC NĂM 2025</t>
  </si>
  <si>
    <t>Chi đầu tư phát triển (Không kể chương trình MTQG)</t>
  </si>
  <si>
    <t>Chi thường xuyên (Không kể chương trình MTQG)</t>
  </si>
  <si>
    <t>Chi dự phòng ngân sách</t>
  </si>
  <si>
    <t>Chi Chương trình mục tiêu quốc gia</t>
  </si>
  <si>
    <t>Tổng</t>
  </si>
  <si>
    <t>Chi đầu tư 
phát triển</t>
  </si>
  <si>
    <t>Chi
 thường xuyên</t>
  </si>
  <si>
    <t>1=2 +...+ 8</t>
  </si>
  <si>
    <t>2</t>
  </si>
  <si>
    <t>3</t>
  </si>
  <si>
    <t>4</t>
  </si>
  <si>
    <t>5</t>
  </si>
  <si>
    <t>6</t>
  </si>
  <si>
    <t>7</t>
  </si>
  <si>
    <t>8</t>
  </si>
  <si>
    <t>9</t>
  </si>
  <si>
    <t>TỔNG CỘNG</t>
  </si>
  <si>
    <t>CÁC CƠ QUAN, TỔ CHỨC</t>
  </si>
  <si>
    <t>I.1</t>
  </si>
  <si>
    <t>SỞ, BAN NGÀNH, ĐƠN VỊ</t>
  </si>
  <si>
    <t>Văn phòng Đoàn ĐBQH và HĐND</t>
  </si>
  <si>
    <t>Văn phòng Ủy ban nhân dân tỉnh</t>
  </si>
  <si>
    <t>Sở Ngoại vụ</t>
  </si>
  <si>
    <t>Sở Nông nghiệp và Phát triển nông thôn</t>
  </si>
  <si>
    <t>Sở Kế hoạch và Đầu tư</t>
  </si>
  <si>
    <t>Sở Tư pháp</t>
  </si>
  <si>
    <t>Sở Công thương</t>
  </si>
  <si>
    <t>Sở Khoa học và Công nghệ</t>
  </si>
  <si>
    <t>Sở Tài chính</t>
  </si>
  <si>
    <t>Sở Xây dựng</t>
  </si>
  <si>
    <t>Sở Giao thông Vận tải</t>
  </si>
  <si>
    <t>Sở Giáo dục và Đào tạo</t>
  </si>
  <si>
    <t>Sở Y tế</t>
  </si>
  <si>
    <t>Sở Lao động - Thương binh và Xã hội</t>
  </si>
  <si>
    <t>Sở Văn hóa, Thể thao và Du lịch</t>
  </si>
  <si>
    <t>Sở Tài Nguyên và Môi trường</t>
  </si>
  <si>
    <t>Sở Nông nghịệp và Môi trường</t>
  </si>
  <si>
    <t>Sở Thông tin và Truyền thông</t>
  </si>
  <si>
    <t>Sở Nội vụ</t>
  </si>
  <si>
    <t>Sở Dân tộc và Tôn giáo</t>
  </si>
  <si>
    <t>Thanh tra tỉnh</t>
  </si>
  <si>
    <t>Ban Dân tộc</t>
  </si>
  <si>
    <t>BQL Khu kinh tế</t>
  </si>
  <si>
    <t>BQL di tích văn hóa Óc Eo</t>
  </si>
  <si>
    <t xml:space="preserve">Trung tâm Xúc tiến Thương mại và Đầu tư </t>
  </si>
  <si>
    <t>Trường Chính trị Tôn Đức Thắng</t>
  </si>
  <si>
    <t>Trường Cao đẳng nghề</t>
  </si>
  <si>
    <t>Trường Cao đẳng Y tế</t>
  </si>
  <si>
    <t>Ban chỉ đạo công tác biên giới tỉnh</t>
  </si>
  <si>
    <t>Ban An toàn giao thông</t>
  </si>
  <si>
    <t>Các hoạt động thường xuyên khác</t>
  </si>
  <si>
    <t>I.2</t>
  </si>
  <si>
    <t>CƠ QUAN ĐẢNG</t>
  </si>
  <si>
    <t>I.3</t>
  </si>
  <si>
    <t>CƠ QUAN ĐOÀN THỂ, HỘI</t>
  </si>
  <si>
    <t>Ủy ban MTTQ Việt Nam tỉnh</t>
  </si>
  <si>
    <t>Tỉnh Đoàn An Giang</t>
  </si>
  <si>
    <t>Hội Liên hiệp Phụ nữ</t>
  </si>
  <si>
    <t>Hội Nông dân</t>
  </si>
  <si>
    <t>Hội Cựu Chiến Binh</t>
  </si>
  <si>
    <t>Liên hiệp các Hội KHKT</t>
  </si>
  <si>
    <t>Liên hiệp các Tổ chức hữu nghị</t>
  </si>
  <si>
    <t>Liên minh Hợp tác xã</t>
  </si>
  <si>
    <t>LH các Hội Văn học nghệ thuật</t>
  </si>
  <si>
    <t>Hội Đông y</t>
  </si>
  <si>
    <t>Hội Bảo trợ NKT-TMC</t>
  </si>
  <si>
    <t>Hội Chữ thập đỏ</t>
  </si>
  <si>
    <t>Hội Người Cao tuổi</t>
  </si>
  <si>
    <t>Hội Luật gia</t>
  </si>
  <si>
    <t>Hội Khuyến học</t>
  </si>
  <si>
    <t>Hội Nạn nhân CĐDC/Dioxin</t>
  </si>
  <si>
    <t>Hội Nhà Báo</t>
  </si>
  <si>
    <t>Hiệp hội nghề nuôi và CBTS</t>
  </si>
  <si>
    <t>Hội người tù kháng chiến</t>
  </si>
  <si>
    <t>Hội Người mù</t>
  </si>
  <si>
    <t>Hội Cựu Giáo chức</t>
  </si>
  <si>
    <t>Hội Khoa học lịch sử tỉnh</t>
  </si>
  <si>
    <t>I.4</t>
  </si>
  <si>
    <t>CÔNG AN, QUÂN SỰ</t>
  </si>
  <si>
    <t xml:space="preserve"> Công an tỉnh</t>
  </si>
  <si>
    <t>Bộ chỉ huy Bộ Đội biên phòng tỉnh</t>
  </si>
  <si>
    <t>Bộ chỉ huy quân sự tỉnh</t>
  </si>
  <si>
    <t>I.5</t>
  </si>
  <si>
    <t>NGÀNH DỌC</t>
  </si>
  <si>
    <t>Đài Khí tượng Thủy văn</t>
  </si>
  <si>
    <t>Cục Thống kê</t>
  </si>
  <si>
    <t>I.6</t>
  </si>
  <si>
    <t>Chương trình, Kế hoạch, Đề án, Dự án khác</t>
  </si>
  <si>
    <t xml:space="preserve">Kinh phí hỗ trợ bảo vệ đất lúa </t>
  </si>
  <si>
    <t>Hỗ trợ sản phẩm dịch vụ công ích</t>
  </si>
  <si>
    <t>Kinh phí quy hoạch</t>
  </si>
  <si>
    <t>Kinh phí bảo hiểm y tế các đối tượng</t>
  </si>
  <si>
    <t>Kinh phí đối ứng 03 Chương trình mục tiêu quốc gia</t>
  </si>
  <si>
    <t xml:space="preserve"> - Chương trình MTQG Xây dựng nông thôn mới</t>
  </si>
  <si>
    <t xml:space="preserve"> - Chương trình MTQG Giảm nghèo bền vững</t>
  </si>
  <si>
    <t xml:space="preserve"> - Chương trình MTQG Phát triển kinh tế - xã hội vùng đồng bào dân tộc thiểu số và miền núi</t>
  </si>
  <si>
    <t xml:space="preserve"> - Chương trình MTQG chưa phân bổ</t>
  </si>
  <si>
    <t>CHI TRẢ NỢ LÃI CÁC KHOẢN DO CHÍNH QUYỀN ĐỊA PHƯƠNG VAY</t>
  </si>
  <si>
    <t xml:space="preserve">CHI BỔ SUNG QUỸ DỰ TRỮ TÀI CHÍNH </t>
  </si>
  <si>
    <t>CHI DỰ PHÒNG NGÂN SÁCH</t>
  </si>
  <si>
    <t>NGUỒN TW BỔ SUNG MỤC TIÊU</t>
  </si>
  <si>
    <t xml:space="preserve"> Chi đầu tư phát triển:</t>
  </si>
  <si>
    <t xml:space="preserve">   - Vốn ngoài nước</t>
  </si>
  <si>
    <t xml:space="preserve">   - Vốn trong nước</t>
  </si>
  <si>
    <t xml:space="preserve">      + Hỗ trợ các Hội văn học nghệ thuật</t>
  </si>
  <si>
    <t xml:space="preserve">      + Hỗ trợ các Hội nhà báo</t>
  </si>
  <si>
    <t xml:space="preserve">      + Kinh phí thực hiện các chính sách ASXH</t>
  </si>
  <si>
    <t xml:space="preserve">      + Kinh phí hỗ trợ địa phương sản xuất lúa</t>
  </si>
  <si>
    <t xml:space="preserve">      + KP thực hiện nhiệm vụ đảm bảo TTATGT</t>
  </si>
  <si>
    <t xml:space="preserve">      + KP phân giới cấm mốc tuyến VN-CPC</t>
  </si>
  <si>
    <t xml:space="preserve">      + KP CT phát triển lâm nghiệp bền vững</t>
  </si>
  <si>
    <t xml:space="preserve">      + Phí sử dụng đường bộ</t>
  </si>
  <si>
    <t>Kinh phí thực hiện Chương trình mục tiêu quốc gia</t>
  </si>
  <si>
    <t>Chi thường xuyên (Không kể chương trình MTQG) điều chỉnh</t>
  </si>
  <si>
    <t>Phụ lục X</t>
  </si>
  <si>
    <t>DỰ TOÁN CHI THƯỜNG XUYÊN NGÂN SÁCH CẤP TỈNH NĂM 2025 THEO LĨNH VỰC VÀ CƠ QUAN, ĐƠN VỊ QUẢN LÝ</t>
  </si>
  <si>
    <t>TÊN ĐƠN VỊ</t>
  </si>
  <si>
    <t>TỔNG
SỐ</t>
  </si>
  <si>
    <t>Chi 
giáo dục - ĐT và dạy nghề</t>
  </si>
  <si>
    <t>Chi khoa học và CN</t>
  </si>
  <si>
    <t>Chi quốc phòng</t>
  </si>
  <si>
    <t>Chi an ninh và trật tự an toàn XH</t>
  </si>
  <si>
    <t>Chi y tế, DS và gia đình</t>
  </si>
  <si>
    <t>Chi PT, TH, thông tấn</t>
  </si>
  <si>
    <t>Trong đó</t>
  </si>
  <si>
    <t>Chi  QLNN, đảng, đoàn thể</t>
  </si>
  <si>
    <t>Chi khác ngân sách</t>
  </si>
  <si>
    <t>Chi chương trình MTQG</t>
  </si>
  <si>
    <t>Chi giao thông</t>
  </si>
  <si>
    <t>Chi NN, LN, thủy lợi, TS</t>
  </si>
  <si>
    <t>Chi công nghệ thông tin (nhuận bút, tin, bài)</t>
  </si>
  <si>
    <t>TỔNG CỘNG (A+B)</t>
  </si>
  <si>
    <t>A- NGUỒN CÂN ĐỐI NSĐP</t>
  </si>
  <si>
    <t>Văn phòng Đoàn ĐBQH và HĐND tỉnh</t>
  </si>
  <si>
    <t>Sở Nông nghiệp và Môi trường</t>
  </si>
  <si>
    <t>B- NGUỒN TW BỔ SUNG MỤC TIÊU</t>
  </si>
  <si>
    <t>Hỗ trợ các Hội văn học nghệ thuật</t>
  </si>
  <si>
    <t>Hỗ trợ các Hội nhà báo</t>
  </si>
  <si>
    <t>Kinh phí thực hiện các chính sách ASXH</t>
  </si>
  <si>
    <t>Kinh phí hỗ trợ địa phương sản xuất lúa</t>
  </si>
  <si>
    <t>KP thực hiện nhiệm vụ đảm bảo TTATGT</t>
  </si>
  <si>
    <t>KP phân giới cấm mốc tuyến VN-CPC</t>
  </si>
  <si>
    <t>KP CT phát triển lâm nghiệp bền vững</t>
  </si>
  <si>
    <t>Phí sử dụng đường bộ</t>
  </si>
  <si>
    <t>Kinh phí thực hiện 3 Chương trình mục tiêu quốc gia</t>
  </si>
  <si>
    <t>CÂN ĐỐI NGUỒN THU, CHI DỰ TOÁN NGÂN SÁCH CẤP TỈNH
 VÀ NGÂN SÁCH XÃ NĂM 2025</t>
  </si>
  <si>
    <t>DỰ TOÁN THU NGÂN SÁCH NHÀ NƯỚC TRÊN ĐỊA BÀN TỪNG XÃ THEO LĨNH VỰC NĂM 2025</t>
  </si>
  <si>
    <t>DỰ TOÁN CHI NGÂN SÁCH ĐỊA PHƯƠNG, CHI NGÂN SÁCH CẤP TỈNH 
VÀ CHI NGÂN SÁCH XÃ THEO CƠ CẤU CHI NĂM 2025</t>
  </si>
  <si>
    <t>DỰ TOÁN THU, CHI NGÂN SÁCH XÃ VÀ SỐ BỔ SUNG CÂN ĐỐI TỪ 
NGÂN SÁCH TỈNH CHO NGÂN SÁCH CẤP XÃ NĂM 2025</t>
  </si>
  <si>
    <t>DỰ TOÁN BỔ SUNG CÓ MỤC TIÊU TỪ NGÂN SÁCH CẤP TỈNH 
CHO NGÂN SÁCH TỪNG XÃ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</si>
</sst>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_(&quot;$&quot;* #,##0.00_);_(&quot;$&quot;* \(#,##0.00\);_(&quot;$&quot;* &quot;-&quot;??_);_(@_)"/>
    <numFmt numFmtId="166" formatCode="_(* #,##0.00_);_(* \(#,##0.00\);_(* &quot;-&quot;??_);_(@_)"/>
    <numFmt numFmtId="167" formatCode="_(* #,##0_);_(* \(#,##0\);_(* &quot;-&quot;??_);_(@_)"/>
  </numFmts>
  <fonts count="36">
    <font>
      <sz val="11"/>
      <color theme="1"/>
      <name val="Calibri"/>
      <family val="2"/>
      <charset val="163"/>
      <scheme val="minor"/>
    </font>
    <font>
      <sz val="12"/>
      <color theme="1"/>
      <name val="Times New Roman"/>
      <family val="2"/>
      <charset val="163"/>
    </font>
    <font>
      <b/>
      <sz val="11"/>
      <color theme="1"/>
      <name val="Calibri"/>
      <family val="2"/>
      <charset val="163"/>
      <scheme val="minor"/>
    </font>
    <font>
      <sz val="11"/>
      <color theme="1"/>
      <name val="Calibri"/>
      <family val="2"/>
      <charset val="163"/>
      <scheme val="minor"/>
    </font>
    <font>
      <sz val="11"/>
      <color theme="1"/>
      <name val="Calibri"/>
      <family val="2"/>
      <scheme val="minor"/>
    </font>
    <font>
      <sz val="12"/>
      <name val="VNI-Times"/>
    </font>
    <font>
      <b/>
      <sz val="12"/>
      <color theme="1"/>
      <name val="Times New Roman"/>
      <family val="1"/>
    </font>
    <font>
      <sz val="12"/>
      <color theme="1"/>
      <name val="Times New Roman"/>
      <family val="1"/>
    </font>
    <font>
      <sz val="11"/>
      <color theme="1"/>
      <name val="Times New Roman"/>
      <family val="1"/>
    </font>
    <font>
      <sz val="14"/>
      <color theme="1"/>
      <name val="Times New Roman"/>
      <family val="2"/>
    </font>
    <font>
      <i/>
      <sz val="12"/>
      <color theme="1"/>
      <name val="Times New Roman"/>
      <family val="1"/>
    </font>
    <font>
      <b/>
      <sz val="13"/>
      <color theme="1"/>
      <name val="Times New Roman"/>
      <family val="1"/>
    </font>
    <font>
      <b/>
      <i/>
      <sz val="12"/>
      <color theme="1"/>
      <name val="Times New Roman"/>
      <family val="1"/>
    </font>
    <font>
      <sz val="11"/>
      <name val="Times New Roman"/>
      <family val="1"/>
    </font>
    <font>
      <sz val="12"/>
      <name val="Times New Roman"/>
      <family val="1"/>
    </font>
    <font>
      <sz val="13"/>
      <name val="Times New Roman"/>
      <family val="1"/>
    </font>
    <font>
      <b/>
      <sz val="12"/>
      <name val="Times New Roman"/>
      <family val="1"/>
    </font>
    <font>
      <b/>
      <sz val="11"/>
      <name val="Times New Roman"/>
      <family val="1"/>
    </font>
    <font>
      <i/>
      <sz val="12"/>
      <name val="Times New Roman"/>
      <family val="1"/>
    </font>
    <font>
      <i/>
      <sz val="11"/>
      <name val="Times New Roman"/>
      <family val="1"/>
    </font>
    <font>
      <sz val="10"/>
      <name val="Times New Roman"/>
      <family val="1"/>
    </font>
    <font>
      <b/>
      <sz val="13"/>
      <name val="Times New Roman"/>
      <family val="1"/>
    </font>
    <font>
      <sz val="11"/>
      <color indexed="8"/>
      <name val="Calibri"/>
      <family val="2"/>
    </font>
    <font>
      <sz val="11"/>
      <name val="Calibri"/>
      <family val="2"/>
      <charset val="163"/>
      <scheme val="minor"/>
    </font>
    <font>
      <sz val="10"/>
      <name val="Calibri"/>
      <family val="2"/>
      <charset val="163"/>
      <scheme val="minor"/>
    </font>
    <font>
      <b/>
      <sz val="11"/>
      <name val="Calibri"/>
      <family val="2"/>
      <charset val="163"/>
      <scheme val="minor"/>
    </font>
    <font>
      <b/>
      <i/>
      <sz val="12"/>
      <name val="Times New Roman"/>
      <family val="1"/>
    </font>
    <font>
      <sz val="12"/>
      <name val="Calibri"/>
      <family val="2"/>
      <scheme val="minor"/>
    </font>
    <font>
      <b/>
      <sz val="12"/>
      <name val="Calibri"/>
      <family val="2"/>
      <scheme val="minor"/>
    </font>
    <font>
      <b/>
      <sz val="13"/>
      <color rgb="FFFF0000"/>
      <name val="Times New Roman"/>
      <family val="1"/>
    </font>
    <font>
      <sz val="14"/>
      <name val="Calibri"/>
      <family val="2"/>
      <charset val="163"/>
      <scheme val="minor"/>
    </font>
    <font>
      <sz val="7"/>
      <name val="Times New Roman"/>
      <family val="1"/>
    </font>
    <font>
      <sz val="9"/>
      <name val="Times New Roman"/>
      <family val="1"/>
    </font>
    <font>
      <sz val="8"/>
      <name val="Times New Roman"/>
      <family val="1"/>
    </font>
    <font>
      <b/>
      <sz val="8"/>
      <name val="Times New Roman"/>
      <family val="1"/>
    </font>
    <font>
      <i/>
      <sz val="10"/>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5">
    <xf numFmtId="0" fontId="0" fillId="0" borderId="0"/>
    <xf numFmtId="166" fontId="3" fillId="0" borderId="0" applyFont="0" applyFill="0" applyBorder="0" applyAlignment="0" applyProtection="0"/>
    <xf numFmtId="0" fontId="4" fillId="0" borderId="0"/>
    <xf numFmtId="0" fontId="3" fillId="0" borderId="0"/>
    <xf numFmtId="166" fontId="3"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0" fontId="5" fillId="0" borderId="0"/>
    <xf numFmtId="0" fontId="9" fillId="0" borderId="0"/>
    <xf numFmtId="166" fontId="9" fillId="0" borderId="0" applyFont="0" applyFill="0" applyBorder="0" applyAlignment="0" applyProtection="0"/>
    <xf numFmtId="165" fontId="9" fillId="0" borderId="0" applyFont="0" applyFill="0" applyBorder="0" applyAlignment="0" applyProtection="0"/>
    <xf numFmtId="165" fontId="4" fillId="0" borderId="0" applyFont="0" applyFill="0" applyBorder="0" applyAlignment="0" applyProtection="0"/>
    <xf numFmtId="0" fontId="1" fillId="0" borderId="0"/>
    <xf numFmtId="0" fontId="15" fillId="0" borderId="0"/>
    <xf numFmtId="0" fontId="22" fillId="0" borderId="0"/>
  </cellStyleXfs>
  <cellXfs count="225">
    <xf numFmtId="0" fontId="0" fillId="0" borderId="0" xfId="0"/>
    <xf numFmtId="0" fontId="2" fillId="0" borderId="0" xfId="0" applyFont="1"/>
    <xf numFmtId="0" fontId="6" fillId="0" borderId="5" xfId="0" applyFont="1" applyBorder="1" applyAlignment="1">
      <alignment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164" fontId="6" fillId="0" borderId="5" xfId="0" applyNumberFormat="1"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vertical="center" wrapText="1"/>
    </xf>
    <xf numFmtId="0" fontId="6" fillId="0" borderId="1" xfId="0" applyFont="1" applyBorder="1" applyAlignment="1">
      <alignment horizontal="center" vertical="center" wrapText="1"/>
    </xf>
    <xf numFmtId="0" fontId="12" fillId="0" borderId="0" xfId="0" applyFont="1" applyAlignment="1">
      <alignment horizontal="left" vertical="center"/>
    </xf>
    <xf numFmtId="0" fontId="10" fillId="0" borderId="0" xfId="0" applyFont="1" applyAlignment="1">
      <alignment horizontal="right" vertical="center"/>
    </xf>
    <xf numFmtId="0" fontId="14" fillId="0" borderId="5" xfId="7" applyFont="1" applyBorder="1"/>
    <xf numFmtId="164" fontId="16" fillId="0" borderId="5" xfId="0" applyNumberFormat="1" applyFont="1" applyBorder="1" applyAlignment="1">
      <alignment vertical="center" wrapText="1"/>
    </xf>
    <xf numFmtId="164" fontId="14" fillId="0" borderId="5" xfId="0" applyNumberFormat="1"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164" fontId="16" fillId="0" borderId="4" xfId="0" applyNumberFormat="1" applyFont="1" applyBorder="1" applyAlignment="1">
      <alignment vertical="center" wrapText="1"/>
    </xf>
    <xf numFmtId="164" fontId="18" fillId="0" borderId="5" xfId="0" applyNumberFormat="1" applyFont="1" applyBorder="1" applyAlignment="1">
      <alignment vertical="center" wrapText="1"/>
    </xf>
    <xf numFmtId="0" fontId="23" fillId="0" borderId="0" xfId="0" applyFont="1"/>
    <xf numFmtId="0" fontId="20"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25" fillId="0" borderId="0" xfId="0" applyFont="1"/>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Border="1" applyAlignment="1">
      <alignment vertical="center" wrapText="1"/>
    </xf>
    <xf numFmtId="164" fontId="23" fillId="0" borderId="0" xfId="0" applyNumberFormat="1" applyFont="1"/>
    <xf numFmtId="0" fontId="16" fillId="0" borderId="4" xfId="0" applyFont="1" applyBorder="1" applyAlignment="1">
      <alignment vertical="center" wrapText="1"/>
    </xf>
    <xf numFmtId="166" fontId="16" fillId="0" borderId="4" xfId="0" applyNumberFormat="1" applyFont="1" applyBorder="1" applyAlignment="1">
      <alignment vertical="center" wrapText="1"/>
    </xf>
    <xf numFmtId="166" fontId="16" fillId="0" borderId="5" xfId="0" applyNumberFormat="1" applyFont="1" applyBorder="1" applyAlignment="1">
      <alignment vertical="center" wrapText="1"/>
    </xf>
    <xf numFmtId="166" fontId="14" fillId="0" borderId="5" xfId="0" applyNumberFormat="1" applyFont="1" applyBorder="1" applyAlignment="1">
      <alignment vertical="center" wrapText="1"/>
    </xf>
    <xf numFmtId="0" fontId="18" fillId="0" borderId="0" xfId="0" applyFont="1" applyAlignment="1">
      <alignment horizontal="right" vertical="center"/>
    </xf>
    <xf numFmtId="0" fontId="18" fillId="0" borderId="5" xfId="0" applyFont="1" applyBorder="1" applyAlignment="1">
      <alignment vertical="center" wrapText="1"/>
    </xf>
    <xf numFmtId="0" fontId="14" fillId="0" borderId="5" xfId="0" applyFont="1" applyBorder="1" applyAlignment="1">
      <alignment horizontal="justify" vertical="center" wrapText="1"/>
    </xf>
    <xf numFmtId="3" fontId="14" fillId="0" borderId="5" xfId="0" applyNumberFormat="1" applyFont="1" applyBorder="1"/>
    <xf numFmtId="164" fontId="14" fillId="0" borderId="6" xfId="0" applyNumberFormat="1" applyFont="1" applyBorder="1" applyAlignment="1">
      <alignment vertical="center" wrapText="1"/>
    </xf>
    <xf numFmtId="167" fontId="14" fillId="0" borderId="6" xfId="1" applyNumberFormat="1" applyFont="1" applyFill="1" applyBorder="1" applyAlignment="1">
      <alignment vertical="center" wrapText="1"/>
    </xf>
    <xf numFmtId="0" fontId="23" fillId="0" borderId="9" xfId="0" applyFont="1" applyBorder="1"/>
    <xf numFmtId="0" fontId="26" fillId="0" borderId="0" xfId="0" applyFont="1" applyAlignment="1">
      <alignment horizontal="left" vertical="center"/>
    </xf>
    <xf numFmtId="0" fontId="17" fillId="0" borderId="1" xfId="0" applyFont="1" applyBorder="1" applyAlignment="1">
      <alignment horizontal="center" vertical="center" wrapText="1"/>
    </xf>
    <xf numFmtId="0" fontId="27" fillId="0" borderId="0" xfId="0" applyFont="1"/>
    <xf numFmtId="0" fontId="28" fillId="0" borderId="0" xfId="0" applyFont="1"/>
    <xf numFmtId="0" fontId="27" fillId="0" borderId="0" xfId="0" applyFont="1" applyAlignment="1">
      <alignment vertical="center"/>
    </xf>
    <xf numFmtId="0" fontId="14" fillId="0" borderId="0" xfId="0" applyFont="1"/>
    <xf numFmtId="0" fontId="18" fillId="0" borderId="0" xfId="0" applyFont="1" applyAlignment="1">
      <alignment horizontal="left" vertical="center"/>
    </xf>
    <xf numFmtId="0" fontId="14" fillId="0" borderId="0" xfId="0" applyFont="1" applyAlignment="1">
      <alignment vertical="center" wrapText="1"/>
    </xf>
    <xf numFmtId="0" fontId="19" fillId="0" borderId="0" xfId="0" applyFont="1" applyAlignment="1">
      <alignment horizontal="right"/>
    </xf>
    <xf numFmtId="0" fontId="24" fillId="0" borderId="0" xfId="0" applyFont="1"/>
    <xf numFmtId="164" fontId="25" fillId="0" borderId="0" xfId="0" applyNumberFormat="1" applyFont="1"/>
    <xf numFmtId="164" fontId="6" fillId="0" borderId="4" xfId="0" applyNumberFormat="1" applyFont="1" applyBorder="1" applyAlignment="1">
      <alignment vertical="center" wrapText="1"/>
    </xf>
    <xf numFmtId="164" fontId="6" fillId="0" borderId="6" xfId="0" applyNumberFormat="1" applyFont="1" applyBorder="1" applyAlignment="1">
      <alignment vertical="center" wrapText="1"/>
    </xf>
    <xf numFmtId="0" fontId="0" fillId="0" borderId="0" xfId="0" applyAlignment="1">
      <alignment wrapText="1"/>
    </xf>
    <xf numFmtId="0" fontId="14" fillId="0" borderId="1" xfId="3" applyFont="1" applyBorder="1" applyAlignment="1">
      <alignment horizontal="center" vertical="center" wrapText="1"/>
    </xf>
    <xf numFmtId="0" fontId="14" fillId="0" borderId="1" xfId="0" applyFont="1" applyBorder="1" applyAlignment="1">
      <alignment vertical="center"/>
    </xf>
    <xf numFmtId="167" fontId="14" fillId="2" borderId="1" xfId="1" applyNumberFormat="1" applyFont="1" applyFill="1" applyBorder="1" applyAlignment="1">
      <alignment vertical="center" wrapText="1"/>
    </xf>
    <xf numFmtId="0" fontId="7" fillId="0" borderId="1" xfId="0" applyFont="1" applyBorder="1" applyAlignment="1">
      <alignment vertical="center"/>
    </xf>
    <xf numFmtId="0" fontId="14" fillId="0" borderId="1" xfId="0" applyFont="1" applyBorder="1" applyAlignment="1">
      <alignment vertical="center" wrapText="1"/>
    </xf>
    <xf numFmtId="164" fontId="16" fillId="0" borderId="7" xfId="3" applyNumberFormat="1" applyFont="1" applyBorder="1" applyAlignment="1">
      <alignment vertical="center" wrapText="1"/>
    </xf>
    <xf numFmtId="164" fontId="14" fillId="0" borderId="1" xfId="3" applyNumberFormat="1" applyFont="1" applyBorder="1" applyAlignment="1">
      <alignment vertical="center" wrapText="1"/>
    </xf>
    <xf numFmtId="0" fontId="16" fillId="0" borderId="7" xfId="0" applyFont="1" applyBorder="1" applyAlignment="1">
      <alignment horizontal="center" vertical="center" wrapText="1"/>
    </xf>
    <xf numFmtId="164" fontId="16" fillId="0" borderId="7"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21" fillId="0" borderId="1" xfId="0" applyFont="1" applyBorder="1" applyAlignment="1">
      <alignment vertical="center" wrapText="1"/>
    </xf>
    <xf numFmtId="164" fontId="21"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167" fontId="30" fillId="0" borderId="0" xfId="1" applyNumberFormat="1" applyFont="1"/>
    <xf numFmtId="3" fontId="23" fillId="0" borderId="0" xfId="0" applyNumberFormat="1" applyFont="1"/>
    <xf numFmtId="0" fontId="16" fillId="0" borderId="6" xfId="0" applyFont="1" applyBorder="1" applyAlignment="1">
      <alignment horizontal="center" vertical="center" wrapText="1"/>
    </xf>
    <xf numFmtId="0" fontId="16" fillId="0" borderId="6" xfId="0" applyFont="1" applyBorder="1" applyAlignment="1">
      <alignment vertical="center" wrapText="1"/>
    </xf>
    <xf numFmtId="164" fontId="16" fillId="0" borderId="6" xfId="0" applyNumberFormat="1" applyFont="1" applyBorder="1" applyAlignment="1">
      <alignment vertical="center" wrapText="1"/>
    </xf>
    <xf numFmtId="166" fontId="14" fillId="0" borderId="6" xfId="0" applyNumberFormat="1" applyFont="1" applyBorder="1" applyAlignment="1">
      <alignment vertical="center" wrapText="1"/>
    </xf>
    <xf numFmtId="0" fontId="16" fillId="0" borderId="1" xfId="3" applyFont="1" applyBorder="1" applyAlignment="1">
      <alignment horizontal="center" vertical="center" wrapText="1"/>
    </xf>
    <xf numFmtId="0" fontId="16" fillId="0" borderId="1" xfId="0" applyFont="1" applyBorder="1" applyAlignment="1">
      <alignment horizontal="center" vertical="center" wrapText="1"/>
    </xf>
    <xf numFmtId="167" fontId="14" fillId="0" borderId="0" xfId="1" applyNumberFormat="1" applyFont="1" applyFill="1"/>
    <xf numFmtId="167" fontId="16" fillId="0" borderId="1" xfId="1" quotePrefix="1" applyNumberFormat="1" applyFont="1" applyFill="1" applyBorder="1" applyAlignment="1">
      <alignment horizontal="center" vertical="center" wrapText="1"/>
    </xf>
    <xf numFmtId="167" fontId="16" fillId="0" borderId="4" xfId="1" applyNumberFormat="1" applyFont="1" applyFill="1" applyBorder="1" applyAlignment="1">
      <alignment horizontal="center" vertical="center" wrapText="1"/>
    </xf>
    <xf numFmtId="167" fontId="16" fillId="0" borderId="5" xfId="1" applyNumberFormat="1" applyFont="1" applyFill="1" applyBorder="1" applyAlignment="1">
      <alignment horizontal="center" vertical="center" wrapText="1"/>
    </xf>
    <xf numFmtId="167" fontId="14" fillId="0" borderId="5" xfId="1" applyNumberFormat="1" applyFont="1" applyFill="1" applyBorder="1" applyAlignment="1">
      <alignment horizontal="right" vertical="center" wrapText="1"/>
    </xf>
    <xf numFmtId="167" fontId="16" fillId="0" borderId="5" xfId="1" applyNumberFormat="1" applyFont="1" applyFill="1" applyBorder="1" applyAlignment="1">
      <alignment horizontal="right" vertical="center" wrapText="1"/>
    </xf>
    <xf numFmtId="167" fontId="14" fillId="0" borderId="5" xfId="1" applyNumberFormat="1" applyFont="1" applyFill="1" applyBorder="1" applyAlignment="1">
      <alignment horizontal="center" vertical="center" wrapText="1"/>
    </xf>
    <xf numFmtId="167" fontId="14" fillId="0" borderId="5" xfId="1" applyNumberFormat="1" applyFont="1" applyFill="1" applyBorder="1"/>
    <xf numFmtId="167" fontId="14" fillId="0" borderId="6" xfId="1" applyNumberFormat="1" applyFont="1" applyFill="1" applyBorder="1"/>
    <xf numFmtId="167" fontId="14" fillId="0" borderId="0" xfId="1" applyNumberFormat="1" applyFont="1" applyFill="1" applyAlignment="1">
      <alignment horizontal="right"/>
    </xf>
    <xf numFmtId="167" fontId="18" fillId="0" borderId="9" xfId="1" applyNumberFormat="1" applyFont="1" applyFill="1" applyBorder="1" applyAlignment="1"/>
    <xf numFmtId="167" fontId="18" fillId="0" borderId="9" xfId="1" applyNumberFormat="1" applyFont="1" applyFill="1" applyBorder="1" applyAlignment="1">
      <alignment horizontal="center"/>
    </xf>
    <xf numFmtId="167" fontId="16" fillId="0" borderId="1" xfId="1" applyNumberFormat="1" applyFont="1" applyFill="1" applyBorder="1" applyAlignment="1">
      <alignment horizontal="center" vertical="center" wrapText="1"/>
    </xf>
    <xf numFmtId="167" fontId="14" fillId="0" borderId="5" xfId="4" applyNumberFormat="1" applyFont="1" applyFill="1" applyBorder="1" applyAlignment="1">
      <alignment horizontal="center" vertical="center"/>
    </xf>
    <xf numFmtId="167" fontId="13" fillId="0" borderId="5" xfId="4" applyNumberFormat="1" applyFont="1" applyFill="1" applyBorder="1" applyAlignment="1">
      <alignment vertical="center"/>
    </xf>
    <xf numFmtId="167" fontId="14" fillId="0" borderId="5" xfId="4" applyNumberFormat="1" applyFont="1" applyFill="1" applyBorder="1"/>
    <xf numFmtId="167" fontId="16" fillId="0" borderId="5" xfId="4" applyNumberFormat="1" applyFont="1" applyFill="1" applyBorder="1" applyAlignment="1">
      <alignment horizontal="center"/>
    </xf>
    <xf numFmtId="167" fontId="16" fillId="0" borderId="5" xfId="4" applyNumberFormat="1" applyFont="1" applyFill="1" applyBorder="1"/>
    <xf numFmtId="167" fontId="14" fillId="0" borderId="5" xfId="4" applyNumberFormat="1" applyFont="1" applyFill="1" applyBorder="1" applyAlignment="1">
      <alignment horizontal="center"/>
    </xf>
    <xf numFmtId="167" fontId="13" fillId="0" borderId="5" xfId="4" quotePrefix="1" applyNumberFormat="1" applyFont="1" applyFill="1" applyBorder="1" applyAlignment="1">
      <alignment vertical="center"/>
    </xf>
    <xf numFmtId="167" fontId="13" fillId="0" borderId="5" xfId="4" applyNumberFormat="1" applyFont="1" applyFill="1" applyBorder="1"/>
    <xf numFmtId="167" fontId="14" fillId="0" borderId="12" xfId="4" applyNumberFormat="1" applyFont="1" applyFill="1" applyBorder="1" applyAlignment="1">
      <alignment horizontal="center"/>
    </xf>
    <xf numFmtId="167" fontId="14" fillId="0" borderId="12" xfId="1" applyNumberFormat="1" applyFont="1" applyFill="1" applyBorder="1"/>
    <xf numFmtId="0" fontId="14" fillId="0" borderId="0" xfId="0" applyFont="1" applyFill="1"/>
    <xf numFmtId="0" fontId="14" fillId="0" borderId="0" xfId="3" applyFont="1" applyFill="1" applyAlignment="1">
      <alignment horizontal="center"/>
    </xf>
    <xf numFmtId="0" fontId="14" fillId="0" borderId="0" xfId="3" applyFont="1" applyFill="1"/>
    <xf numFmtId="0" fontId="16" fillId="0" borderId="1" xfId="0" applyFont="1" applyFill="1" applyBorder="1" applyAlignment="1">
      <alignment horizontal="center" vertical="center" wrapText="1"/>
    </xf>
    <xf numFmtId="0" fontId="16" fillId="0" borderId="1" xfId="3" applyFont="1" applyFill="1" applyBorder="1" applyAlignment="1">
      <alignment horizontal="center" vertical="center" wrapText="1"/>
    </xf>
    <xf numFmtId="0" fontId="16" fillId="0" borderId="4" xfId="3" quotePrefix="1" applyFont="1" applyFill="1" applyBorder="1" applyAlignment="1">
      <alignment horizontal="center" vertical="center"/>
    </xf>
    <xf numFmtId="0" fontId="16" fillId="0" borderId="4" xfId="3" applyFont="1" applyFill="1" applyBorder="1" applyAlignment="1">
      <alignment horizontal="center" vertical="center"/>
    </xf>
    <xf numFmtId="167" fontId="14" fillId="0" borderId="0" xfId="0" applyNumberFormat="1" applyFont="1" applyFill="1"/>
    <xf numFmtId="0" fontId="16" fillId="0" borderId="5" xfId="3" applyFont="1" applyFill="1" applyBorder="1" applyAlignment="1">
      <alignment horizontal="center" vertical="center"/>
    </xf>
    <xf numFmtId="0" fontId="16" fillId="0" borderId="5" xfId="0" applyFont="1" applyFill="1" applyBorder="1" applyAlignment="1">
      <alignment vertical="center" wrapText="1"/>
    </xf>
    <xf numFmtId="0" fontId="16" fillId="0" borderId="5" xfId="3" applyFont="1" applyFill="1" applyBorder="1" applyAlignment="1">
      <alignment horizontal="center"/>
    </xf>
    <xf numFmtId="0" fontId="16" fillId="0" borderId="5" xfId="3" applyFont="1" applyFill="1" applyBorder="1"/>
    <xf numFmtId="0" fontId="14" fillId="0" borderId="12" xfId="7" applyFont="1" applyFill="1" applyBorder="1"/>
    <xf numFmtId="0" fontId="14" fillId="0" borderId="12" xfId="7" applyFont="1" applyFill="1" applyBorder="1" applyAlignment="1">
      <alignment wrapText="1"/>
    </xf>
    <xf numFmtId="0" fontId="16" fillId="0" borderId="5" xfId="3" applyFont="1" applyFill="1" applyBorder="1" applyAlignment="1">
      <alignment horizontal="center" vertical="center" wrapText="1"/>
    </xf>
    <xf numFmtId="0" fontId="16" fillId="0" borderId="5" xfId="3" applyFont="1" applyFill="1" applyBorder="1" applyAlignment="1">
      <alignment vertical="center" wrapText="1"/>
    </xf>
    <xf numFmtId="0" fontId="14" fillId="0" borderId="5" xfId="3" applyFont="1" applyFill="1" applyBorder="1" applyAlignment="1">
      <alignment horizontal="center" vertical="center" wrapText="1"/>
    </xf>
    <xf numFmtId="0" fontId="14" fillId="0" borderId="5" xfId="3" applyFont="1" applyFill="1" applyBorder="1" applyAlignment="1">
      <alignment vertical="center" wrapText="1"/>
    </xf>
    <xf numFmtId="0" fontId="14" fillId="0" borderId="5" xfId="7" applyFont="1" applyFill="1" applyBorder="1"/>
    <xf numFmtId="0" fontId="14" fillId="0" borderId="6" xfId="0" applyFont="1" applyFill="1" applyBorder="1" applyAlignment="1">
      <alignment horizontal="center"/>
    </xf>
    <xf numFmtId="0" fontId="14" fillId="0" borderId="6" xfId="0" applyFont="1" applyFill="1" applyBorder="1"/>
    <xf numFmtId="0" fontId="14" fillId="0" borderId="0" xfId="0" applyFont="1" applyFill="1" applyAlignment="1">
      <alignment horizontal="center"/>
    </xf>
    <xf numFmtId="167" fontId="13" fillId="0" borderId="5" xfId="4" applyNumberFormat="1" applyFont="1" applyFill="1" applyBorder="1" applyAlignment="1">
      <alignment horizontal="center"/>
    </xf>
    <xf numFmtId="167" fontId="13" fillId="0" borderId="5" xfId="4" applyNumberFormat="1" applyFont="1" applyFill="1" applyBorder="1" applyAlignment="1">
      <alignment vertical="center" wrapText="1"/>
    </xf>
    <xf numFmtId="167" fontId="17" fillId="0" borderId="5" xfId="4" applyNumberFormat="1" applyFont="1" applyFill="1" applyBorder="1" applyAlignment="1">
      <alignment horizontal="center"/>
    </xf>
    <xf numFmtId="167" fontId="17" fillId="0" borderId="5" xfId="4" applyNumberFormat="1" applyFont="1" applyFill="1" applyBorder="1"/>
    <xf numFmtId="167" fontId="13" fillId="0" borderId="5" xfId="4" quotePrefix="1" applyNumberFormat="1" applyFont="1" applyFill="1" applyBorder="1" applyAlignment="1">
      <alignment vertical="center" wrapText="1"/>
    </xf>
    <xf numFmtId="167" fontId="13" fillId="0" borderId="5" xfId="4" quotePrefix="1" applyNumberFormat="1" applyFont="1" applyFill="1" applyBorder="1"/>
    <xf numFmtId="167" fontId="13" fillId="0" borderId="12" xfId="4" applyNumberFormat="1" applyFont="1" applyFill="1" applyBorder="1"/>
    <xf numFmtId="167" fontId="13" fillId="0" borderId="12" xfId="1" applyNumberFormat="1" applyFont="1" applyFill="1" applyBorder="1"/>
    <xf numFmtId="167" fontId="13" fillId="0" borderId="5" xfId="1" applyNumberFormat="1" applyFont="1" applyFill="1" applyBorder="1"/>
    <xf numFmtId="167" fontId="13" fillId="0" borderId="6" xfId="4" applyNumberFormat="1" applyFont="1" applyFill="1" applyBorder="1" applyAlignment="1">
      <alignment horizontal="center"/>
    </xf>
    <xf numFmtId="167" fontId="13" fillId="0" borderId="6" xfId="4" applyNumberFormat="1" applyFont="1" applyFill="1" applyBorder="1"/>
    <xf numFmtId="167" fontId="13" fillId="0" borderId="6" xfId="1" applyNumberFormat="1" applyFont="1" applyFill="1" applyBorder="1"/>
    <xf numFmtId="0" fontId="13" fillId="0" borderId="0" xfId="0" applyFont="1" applyFill="1"/>
    <xf numFmtId="0" fontId="18" fillId="0" borderId="0" xfId="3" applyFont="1" applyFill="1" applyAlignment="1">
      <alignment horizontal="center" vertical="center" wrapText="1"/>
    </xf>
    <xf numFmtId="167" fontId="18" fillId="0" borderId="0" xfId="3" applyNumberFormat="1" applyFont="1" applyFill="1" applyAlignment="1">
      <alignment horizontal="center" vertical="center" wrapText="1"/>
    </xf>
    <xf numFmtId="167" fontId="18" fillId="0" borderId="0" xfId="1" applyNumberFormat="1" applyFont="1" applyFill="1" applyAlignment="1">
      <alignment horizontal="center" vertical="center" wrapText="1"/>
    </xf>
    <xf numFmtId="167" fontId="13" fillId="0" borderId="0" xfId="1" applyNumberFormat="1" applyFont="1" applyFill="1"/>
    <xf numFmtId="0" fontId="31" fillId="0" borderId="0" xfId="3" applyFont="1" applyFill="1" applyAlignment="1">
      <alignment horizontal="center"/>
    </xf>
    <xf numFmtId="0" fontId="31" fillId="0" borderId="0" xfId="3" applyFont="1" applyFill="1"/>
    <xf numFmtId="167" fontId="20" fillId="0" borderId="0" xfId="3" applyNumberFormat="1" applyFont="1" applyFill="1"/>
    <xf numFmtId="167" fontId="14" fillId="0" borderId="0" xfId="3" applyNumberFormat="1" applyFont="1" applyFill="1"/>
    <xf numFmtId="0" fontId="32" fillId="0" borderId="0" xfId="3" applyFont="1" applyFill="1"/>
    <xf numFmtId="167" fontId="32" fillId="0" borderId="0" xfId="3" applyNumberFormat="1" applyFont="1" applyFill="1"/>
    <xf numFmtId="167" fontId="33" fillId="0" borderId="0" xfId="3" applyNumberFormat="1" applyFont="1" applyFill="1"/>
    <xf numFmtId="167" fontId="18" fillId="0" borderId="9" xfId="3" applyNumberFormat="1" applyFont="1" applyFill="1" applyBorder="1"/>
    <xf numFmtId="167" fontId="34" fillId="0" borderId="0" xfId="3" applyNumberFormat="1" applyFont="1" applyFill="1" applyAlignment="1">
      <alignment horizontal="center" vertical="center" wrapText="1"/>
    </xf>
    <xf numFmtId="0" fontId="14" fillId="0" borderId="1" xfId="3" applyFont="1" applyFill="1" applyBorder="1" applyAlignment="1">
      <alignment horizontal="center"/>
    </xf>
    <xf numFmtId="0" fontId="14" fillId="0" borderId="1" xfId="3" quotePrefix="1" applyFont="1" applyFill="1" applyBorder="1" applyAlignment="1">
      <alignment horizontal="center"/>
    </xf>
    <xf numFmtId="0" fontId="17" fillId="0" borderId="4" xfId="3" quotePrefix="1" applyFont="1" applyFill="1" applyBorder="1" applyAlignment="1">
      <alignment horizontal="center"/>
    </xf>
    <xf numFmtId="0" fontId="17" fillId="0" borderId="4" xfId="3" applyFont="1" applyFill="1" applyBorder="1" applyAlignment="1">
      <alignment horizontal="center"/>
    </xf>
    <xf numFmtId="167" fontId="17" fillId="0" borderId="4" xfId="3" applyNumberFormat="1" applyFont="1" applyFill="1" applyBorder="1"/>
    <xf numFmtId="0" fontId="17" fillId="0" borderId="5" xfId="3" quotePrefix="1" applyFont="1" applyFill="1" applyBorder="1" applyAlignment="1">
      <alignment horizontal="center"/>
    </xf>
    <xf numFmtId="0" fontId="17" fillId="0" borderId="5" xfId="3" applyFont="1" applyFill="1" applyBorder="1" applyAlignment="1">
      <alignment horizontal="center"/>
    </xf>
    <xf numFmtId="167" fontId="17" fillId="0" borderId="5" xfId="3" applyNumberFormat="1" applyFont="1" applyFill="1" applyBorder="1"/>
    <xf numFmtId="167" fontId="13" fillId="0" borderId="0" xfId="0" applyNumberFormat="1" applyFont="1" applyFill="1"/>
    <xf numFmtId="0" fontId="17" fillId="0" borderId="5" xfId="3" applyFont="1" applyFill="1" applyBorder="1"/>
    <xf numFmtId="167" fontId="13" fillId="0" borderId="5" xfId="3" applyNumberFormat="1" applyFont="1" applyFill="1" applyBorder="1"/>
    <xf numFmtId="0" fontId="13" fillId="0" borderId="5" xfId="0" applyFont="1" applyFill="1" applyBorder="1"/>
    <xf numFmtId="0" fontId="13" fillId="0" borderId="5" xfId="7" applyFont="1" applyFill="1" applyBorder="1"/>
    <xf numFmtId="167" fontId="13" fillId="0" borderId="12" xfId="3" applyNumberFormat="1" applyFont="1" applyFill="1" applyBorder="1"/>
    <xf numFmtId="0" fontId="14" fillId="0" borderId="6" xfId="7" applyFont="1" applyFill="1" applyBorder="1"/>
    <xf numFmtId="0" fontId="13" fillId="0" borderId="6" xfId="0" applyFont="1" applyFill="1" applyBorder="1"/>
    <xf numFmtId="0" fontId="13" fillId="0" borderId="0" xfId="0" applyFont="1" applyFill="1" applyAlignment="1">
      <alignment horizontal="center"/>
    </xf>
    <xf numFmtId="3" fontId="13" fillId="0" borderId="0" xfId="0" applyNumberFormat="1" applyFont="1" applyFill="1"/>
    <xf numFmtId="0" fontId="11" fillId="0" borderId="0" xfId="0" applyFont="1" applyAlignment="1">
      <alignment horizontal="center" vertical="center"/>
    </xf>
    <xf numFmtId="0" fontId="21" fillId="0" borderId="0" xfId="0" applyFont="1" applyAlignment="1">
      <alignment horizontal="center" vertical="center" wrapText="1"/>
    </xf>
    <xf numFmtId="0" fontId="18" fillId="0" borderId="0" xfId="0" applyFont="1" applyAlignment="1">
      <alignment horizontal="center" vertical="center" wrapText="1"/>
    </xf>
    <xf numFmtId="0" fontId="13" fillId="0" borderId="10" xfId="0" applyFont="1" applyBorder="1" applyAlignment="1">
      <alignment horizontal="justify" vertical="center" wrapText="1"/>
    </xf>
    <xf numFmtId="0" fontId="17" fillId="0" borderId="1"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xf>
    <xf numFmtId="0" fontId="21" fillId="0" borderId="0" xfId="0" applyFont="1" applyAlignment="1">
      <alignment horizontal="center"/>
    </xf>
    <xf numFmtId="0" fontId="16" fillId="0" borderId="7" xfId="3" applyFont="1" applyBorder="1" applyAlignment="1">
      <alignment horizontal="center" vertical="center" wrapText="1"/>
    </xf>
    <xf numFmtId="0" fontId="16" fillId="0" borderId="1" xfId="3" applyFont="1" applyBorder="1" applyAlignment="1">
      <alignment horizontal="center" vertical="center" wrapText="1"/>
    </xf>
    <xf numFmtId="0" fontId="16" fillId="0" borderId="8" xfId="3" applyFont="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left" vertical="center" wrapText="1"/>
    </xf>
    <xf numFmtId="0" fontId="16" fillId="0" borderId="1" xfId="0" applyFont="1" applyBorder="1" applyAlignment="1">
      <alignment horizontal="center" vertical="center" wrapText="1"/>
    </xf>
    <xf numFmtId="0" fontId="13" fillId="0" borderId="10" xfId="0" applyFont="1" applyBorder="1" applyAlignment="1">
      <alignment horizontal="justify" wrapText="1"/>
    </xf>
    <xf numFmtId="0" fontId="10" fillId="0" borderId="0" xfId="0" applyFont="1" applyAlignment="1">
      <alignment horizontal="left" vertical="center" wrapText="1"/>
    </xf>
    <xf numFmtId="0" fontId="8" fillId="0" borderId="0" xfId="0" applyFont="1" applyAlignment="1">
      <alignment horizontal="justify" wrapText="1"/>
    </xf>
    <xf numFmtId="167" fontId="16" fillId="0" borderId="7" xfId="1" applyNumberFormat="1" applyFont="1" applyFill="1" applyBorder="1" applyAlignment="1">
      <alignment horizontal="center" vertical="center" wrapText="1"/>
    </xf>
    <xf numFmtId="167" fontId="16" fillId="0" borderId="8" xfId="1" applyNumberFormat="1" applyFont="1" applyFill="1" applyBorder="1" applyAlignment="1">
      <alignment horizontal="center" vertical="center" wrapText="1"/>
    </xf>
    <xf numFmtId="167" fontId="16" fillId="0" borderId="2" xfId="1" applyNumberFormat="1" applyFont="1" applyFill="1" applyBorder="1" applyAlignment="1">
      <alignment horizontal="center" vertical="center" wrapText="1"/>
    </xf>
    <xf numFmtId="167" fontId="16" fillId="0" borderId="3" xfId="1" applyNumberFormat="1" applyFont="1" applyFill="1" applyBorder="1" applyAlignment="1">
      <alignment horizontal="center" vertical="center" wrapText="1"/>
    </xf>
    <xf numFmtId="167" fontId="16" fillId="0" borderId="11" xfId="1" applyNumberFormat="1" applyFont="1" applyFill="1" applyBorder="1" applyAlignment="1">
      <alignment horizontal="center" vertical="center" wrapText="1"/>
    </xf>
    <xf numFmtId="0" fontId="13" fillId="0" borderId="10" xfId="0" applyFont="1" applyFill="1" applyBorder="1" applyAlignment="1">
      <alignment horizontal="justify" wrapText="1"/>
    </xf>
    <xf numFmtId="0" fontId="21" fillId="0" borderId="0" xfId="0" applyFont="1" applyFill="1" applyAlignment="1">
      <alignment horizontal="center"/>
    </xf>
    <xf numFmtId="0" fontId="21" fillId="0" borderId="0" xfId="3" applyFont="1" applyFill="1" applyAlignment="1">
      <alignment horizontal="center" vertical="center" wrapText="1"/>
    </xf>
    <xf numFmtId="0" fontId="18" fillId="0" borderId="0" xfId="3" applyFont="1" applyFill="1" applyAlignment="1">
      <alignment horizontal="center" vertical="center" wrapText="1"/>
    </xf>
    <xf numFmtId="167" fontId="18" fillId="0" borderId="9" xfId="1" applyNumberFormat="1" applyFont="1" applyFill="1" applyBorder="1" applyAlignment="1">
      <alignment horizontal="center"/>
    </xf>
    <xf numFmtId="0" fontId="16" fillId="0" borderId="7" xfId="3" applyFont="1" applyFill="1" applyBorder="1" applyAlignment="1">
      <alignment horizontal="center" vertical="center" wrapText="1"/>
    </xf>
    <xf numFmtId="0" fontId="16" fillId="0" borderId="8" xfId="3" applyFont="1" applyFill="1" applyBorder="1" applyAlignment="1">
      <alignment horizontal="center" vertical="center" wrapText="1"/>
    </xf>
    <xf numFmtId="0" fontId="13" fillId="0" borderId="0" xfId="0" applyFont="1" applyFill="1" applyAlignment="1">
      <alignment horizontal="justify" wrapText="1"/>
    </xf>
    <xf numFmtId="0" fontId="16" fillId="0" borderId="14"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11" xfId="3" applyFont="1" applyFill="1" applyBorder="1" applyAlignment="1">
      <alignment horizontal="center" vertical="center" wrapText="1"/>
    </xf>
    <xf numFmtId="167" fontId="35" fillId="0" borderId="9" xfId="3" applyNumberFormat="1" applyFont="1" applyFill="1" applyBorder="1" applyAlignment="1">
      <alignment horizontal="center" vertical="center" wrapText="1"/>
    </xf>
    <xf numFmtId="0" fontId="16" fillId="0" borderId="7" xfId="3" applyFont="1" applyFill="1" applyBorder="1" applyAlignment="1">
      <alignment horizontal="center" vertical="center"/>
    </xf>
    <xf numFmtId="0" fontId="16" fillId="0" borderId="14" xfId="3" applyFont="1" applyFill="1" applyBorder="1" applyAlignment="1">
      <alignment horizontal="center" vertical="center"/>
    </xf>
    <xf numFmtId="0" fontId="16" fillId="0" borderId="13" xfId="3" applyFont="1" applyFill="1" applyBorder="1" applyAlignment="1">
      <alignment horizontal="center" vertical="center" wrapText="1"/>
    </xf>
    <xf numFmtId="0" fontId="16" fillId="0" borderId="15" xfId="3" applyFont="1" applyFill="1" applyBorder="1" applyAlignment="1">
      <alignment horizontal="center" vertical="center" wrapText="1"/>
    </xf>
    <xf numFmtId="0" fontId="21" fillId="0" borderId="0" xfId="0" applyFont="1" applyAlignment="1">
      <alignment horizontal="center" vertical="center"/>
    </xf>
    <xf numFmtId="0" fontId="19" fillId="0" borderId="9" xfId="0" applyFont="1" applyBorder="1" applyAlignment="1">
      <alignment horizontal="center"/>
    </xf>
    <xf numFmtId="0" fontId="13" fillId="0" borderId="0" xfId="0" applyFont="1" applyAlignment="1">
      <alignment horizontal="justify"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1" fillId="0" borderId="0" xfId="0" applyFont="1" applyAlignment="1">
      <alignment horizontal="center" wrapText="1"/>
    </xf>
    <xf numFmtId="0" fontId="18" fillId="0" borderId="9" xfId="0" applyFont="1" applyBorder="1" applyAlignment="1">
      <alignment horizontal="center" vertical="center"/>
    </xf>
    <xf numFmtId="0" fontId="13" fillId="0" borderId="0" xfId="0" applyFont="1" applyAlignment="1">
      <alignment horizontal="left" wrapText="1"/>
    </xf>
    <xf numFmtId="0" fontId="13" fillId="0" borderId="0" xfId="0" applyFont="1"/>
    <xf numFmtId="3" fontId="13" fillId="0" borderId="0" xfId="0" applyNumberFormat="1" applyFont="1"/>
    <xf numFmtId="167" fontId="13" fillId="0" borderId="0" xfId="0" applyNumberFormat="1" applyFont="1"/>
    <xf numFmtId="0" fontId="16" fillId="0" borderId="1" xfId="3" applyFont="1" applyBorder="1" applyAlignment="1">
      <alignment vertical="center" wrapText="1"/>
    </xf>
    <xf numFmtId="3" fontId="16" fillId="0" borderId="1" xfId="3" applyNumberFormat="1" applyFont="1" applyBorder="1" applyAlignment="1">
      <alignment horizontal="right" vertical="center" wrapText="1"/>
    </xf>
    <xf numFmtId="0" fontId="17" fillId="0" borderId="0" xfId="0" applyFont="1"/>
    <xf numFmtId="3" fontId="17" fillId="0" borderId="0" xfId="0" applyNumberFormat="1" applyFont="1"/>
    <xf numFmtId="3" fontId="14" fillId="0" borderId="1" xfId="3" applyNumberFormat="1" applyFont="1" applyBorder="1" applyAlignment="1">
      <alignment horizontal="right" vertical="center" wrapText="1"/>
    </xf>
    <xf numFmtId="0" fontId="14" fillId="0" borderId="0" xfId="3" applyFont="1" applyAlignment="1">
      <alignment horizontal="center" vertical="center" wrapText="1"/>
    </xf>
    <xf numFmtId="3" fontId="14" fillId="0" borderId="0" xfId="3" applyNumberFormat="1" applyFont="1" applyAlignment="1">
      <alignment horizontal="right" vertical="center" wrapText="1"/>
    </xf>
    <xf numFmtId="0" fontId="14" fillId="0" borderId="0" xfId="0" applyFont="1" applyAlignment="1">
      <alignment horizontal="left" vertical="center" wrapText="1"/>
    </xf>
    <xf numFmtId="0" fontId="21" fillId="0" borderId="0" xfId="0" applyFont="1"/>
  </cellXfs>
  <cellStyles count="15">
    <cellStyle name="Comma" xfId="1" builtinId="3"/>
    <cellStyle name="Comma 2" xfId="4"/>
    <cellStyle name="Comma 3" xfId="6"/>
    <cellStyle name="Comma 4" xfId="9"/>
    <cellStyle name="Currency 2" xfId="10"/>
    <cellStyle name="Currency 3" xfId="11"/>
    <cellStyle name="Normal" xfId="0" builtinId="0"/>
    <cellStyle name="Normal 2" xfId="3"/>
    <cellStyle name="Normal 2 3 3" xfId="13"/>
    <cellStyle name="Normal 2_TK hang nam" xfId="14"/>
    <cellStyle name="Normal 3" xfId="2"/>
    <cellStyle name="Normal 4" xfId="8"/>
    <cellStyle name="Normal 5" xfId="12"/>
    <cellStyle name="Normal_QT 2011" xfId="7"/>
    <cellStyle name="Percent 2" xfId="5"/>
  </cellStyles>
  <dxfs count="0"/>
  <tableStyles count="0" defaultTableStyle="TableStyleMedium9" defaultPivotStyle="PivotStyleLight16"/>
  <colors>
    <mruColors>
      <color rgb="FF0099CC"/>
      <color rgb="FF3506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2"/>
  <sheetViews>
    <sheetView zoomScale="90" zoomScaleNormal="90" workbookViewId="0">
      <pane xSplit="2" ySplit="8" topLeftCell="C18" activePane="bottomRight" state="frozen"/>
      <selection activeCell="E9" sqref="E9"/>
      <selection pane="topRight" activeCell="E9" sqref="E9"/>
      <selection pane="bottomLeft" activeCell="E9" sqref="E9"/>
      <selection pane="bottomRight" activeCell="E29" sqref="E29"/>
    </sheetView>
  </sheetViews>
  <sheetFormatPr defaultRowHeight="14.4"/>
  <cols>
    <col min="1" max="1" width="5.77734375" style="22" customWidth="1"/>
    <col min="2" max="2" width="37.77734375" style="22" customWidth="1"/>
    <col min="3" max="3" width="12.77734375" style="22" customWidth="1"/>
    <col min="4" max="4" width="12.5546875" style="22" customWidth="1"/>
    <col min="5" max="5" width="12.21875" style="22" customWidth="1"/>
    <col min="6" max="6" width="12.5546875" style="22" customWidth="1"/>
    <col min="7" max="7" width="11" style="22" customWidth="1"/>
    <col min="8" max="8" width="9.77734375" style="22" bestFit="1" customWidth="1"/>
    <col min="9" max="9" width="11.21875" style="22" bestFit="1" customWidth="1"/>
    <col min="10" max="10" width="10.77734375" style="22" bestFit="1" customWidth="1"/>
    <col min="11" max="16384" width="8.88671875" style="22"/>
  </cols>
  <sheetData>
    <row r="1" spans="1:10" ht="17.25" customHeight="1">
      <c r="A1" s="173" t="s">
        <v>119</v>
      </c>
      <c r="B1" s="173"/>
      <c r="C1" s="173"/>
      <c r="D1" s="173"/>
      <c r="E1" s="173"/>
      <c r="F1" s="173"/>
      <c r="G1" s="173"/>
    </row>
    <row r="2" spans="1:10" ht="35.25" customHeight="1">
      <c r="A2" s="210" t="s">
        <v>335</v>
      </c>
      <c r="B2" s="210"/>
      <c r="C2" s="210"/>
      <c r="D2" s="210"/>
      <c r="E2" s="210"/>
      <c r="F2" s="210"/>
      <c r="G2" s="210"/>
    </row>
    <row r="3" spans="1:10" ht="21.75" customHeight="1">
      <c r="A3" s="177" t="s">
        <v>177</v>
      </c>
      <c r="B3" s="177"/>
      <c r="C3" s="177"/>
      <c r="D3" s="177"/>
      <c r="E3" s="177"/>
      <c r="F3" s="177"/>
      <c r="G3" s="177"/>
    </row>
    <row r="4" spans="1:10" ht="18" customHeight="1">
      <c r="D4" s="30"/>
      <c r="F4" s="211" t="s">
        <v>5</v>
      </c>
      <c r="G4" s="211"/>
    </row>
    <row r="5" spans="1:10" ht="21.75" customHeight="1">
      <c r="A5" s="179" t="s">
        <v>0</v>
      </c>
      <c r="B5" s="179" t="s">
        <v>1</v>
      </c>
      <c r="C5" s="179" t="s">
        <v>99</v>
      </c>
      <c r="D5" s="179" t="s">
        <v>110</v>
      </c>
      <c r="E5" s="179" t="s">
        <v>111</v>
      </c>
      <c r="F5" s="179" t="s">
        <v>70</v>
      </c>
      <c r="G5" s="179"/>
    </row>
    <row r="6" spans="1:10" ht="44.25" customHeight="1">
      <c r="A6" s="179"/>
      <c r="B6" s="179"/>
      <c r="C6" s="179"/>
      <c r="D6" s="179"/>
      <c r="E6" s="179"/>
      <c r="F6" s="76" t="s">
        <v>17</v>
      </c>
      <c r="G6" s="76" t="s">
        <v>34</v>
      </c>
    </row>
    <row r="7" spans="1:10" ht="15.6">
      <c r="A7" s="76" t="s">
        <v>2</v>
      </c>
      <c r="B7" s="76" t="s">
        <v>3</v>
      </c>
      <c r="C7" s="76">
        <v>1</v>
      </c>
      <c r="D7" s="76">
        <v>2</v>
      </c>
      <c r="E7" s="76">
        <v>3</v>
      </c>
      <c r="F7" s="76">
        <v>4</v>
      </c>
      <c r="G7" s="76">
        <v>5</v>
      </c>
    </row>
    <row r="8" spans="1:10" ht="19.05" customHeight="1">
      <c r="A8" s="24" t="s">
        <v>2</v>
      </c>
      <c r="B8" s="31" t="s">
        <v>21</v>
      </c>
      <c r="C8" s="20"/>
      <c r="D8" s="20"/>
      <c r="E8" s="20"/>
      <c r="F8" s="20"/>
      <c r="G8" s="32"/>
    </row>
    <row r="9" spans="1:10" ht="19.05" customHeight="1">
      <c r="A9" s="28" t="s">
        <v>9</v>
      </c>
      <c r="B9" s="29" t="s">
        <v>58</v>
      </c>
      <c r="C9" s="16">
        <f>+C10+C11+C14</f>
        <v>18612375.956104547</v>
      </c>
      <c r="D9" s="16">
        <f>+D10+D11+D14</f>
        <v>18636496</v>
      </c>
      <c r="E9" s="16">
        <f>+E10+E11+E14</f>
        <v>23085488.079</v>
      </c>
      <c r="F9" s="16">
        <f>+E9-D9</f>
        <v>4448992.0789999999</v>
      </c>
      <c r="G9" s="33">
        <f>E9/D9%</f>
        <v>123.87247087113371</v>
      </c>
      <c r="H9" s="30"/>
      <c r="I9" s="30"/>
    </row>
    <row r="10" spans="1:10" ht="15.6">
      <c r="A10" s="26">
        <v>1</v>
      </c>
      <c r="B10" s="18" t="s">
        <v>22</v>
      </c>
      <c r="C10" s="17">
        <v>4564929.9561045486</v>
      </c>
      <c r="D10" s="17">
        <v>4589050</v>
      </c>
      <c r="E10" s="17">
        <v>6515107.0789999999</v>
      </c>
      <c r="F10" s="17">
        <f>+E10-D10</f>
        <v>1926057.0789999999</v>
      </c>
      <c r="G10" s="34">
        <f t="shared" ref="G10:G14" si="0">E10/D10%</f>
        <v>141.97071461413583</v>
      </c>
    </row>
    <row r="11" spans="1:10" ht="22.5" customHeight="1">
      <c r="A11" s="26">
        <v>2</v>
      </c>
      <c r="B11" s="18" t="s">
        <v>23</v>
      </c>
      <c r="C11" s="17">
        <f>+C12+C13</f>
        <v>12825116</v>
      </c>
      <c r="D11" s="17">
        <f t="shared" ref="D11:E11" si="1">+D12+D13</f>
        <v>12825116</v>
      </c>
      <c r="E11" s="17">
        <f t="shared" si="1"/>
        <v>14106586</v>
      </c>
      <c r="F11" s="17">
        <f t="shared" ref="F11:F31" si="2">+E11-D11</f>
        <v>1281470</v>
      </c>
      <c r="G11" s="34">
        <f t="shared" si="0"/>
        <v>109.9918784360313</v>
      </c>
    </row>
    <row r="12" spans="1:10" ht="15.6">
      <c r="A12" s="26" t="s">
        <v>4</v>
      </c>
      <c r="B12" s="18" t="s">
        <v>103</v>
      </c>
      <c r="C12" s="17">
        <v>8816122</v>
      </c>
      <c r="D12" s="17">
        <v>8816122</v>
      </c>
      <c r="E12" s="17">
        <v>8992422</v>
      </c>
      <c r="F12" s="17">
        <f t="shared" si="2"/>
        <v>176300</v>
      </c>
      <c r="G12" s="34">
        <f t="shared" si="0"/>
        <v>101.99974546631728</v>
      </c>
    </row>
    <row r="13" spans="1:10" ht="15.6">
      <c r="A13" s="26" t="s">
        <v>4</v>
      </c>
      <c r="B13" s="18" t="s">
        <v>10</v>
      </c>
      <c r="C13" s="17">
        <v>4008994</v>
      </c>
      <c r="D13" s="17">
        <v>4008994</v>
      </c>
      <c r="E13" s="17">
        <v>5114164</v>
      </c>
      <c r="F13" s="17">
        <f t="shared" si="2"/>
        <v>1105170</v>
      </c>
      <c r="G13" s="34">
        <f t="shared" si="0"/>
        <v>127.56726500463706</v>
      </c>
    </row>
    <row r="14" spans="1:10" ht="15.6">
      <c r="A14" s="26">
        <v>3</v>
      </c>
      <c r="B14" s="18" t="s">
        <v>102</v>
      </c>
      <c r="C14" s="17">
        <v>1222330</v>
      </c>
      <c r="D14" s="17">
        <v>1222330</v>
      </c>
      <c r="E14" s="17">
        <v>2463795</v>
      </c>
      <c r="F14" s="17">
        <f t="shared" si="2"/>
        <v>1241465</v>
      </c>
      <c r="G14" s="34">
        <f t="shared" si="0"/>
        <v>201.56545286461105</v>
      </c>
      <c r="I14" s="30"/>
      <c r="J14" s="30"/>
    </row>
    <row r="15" spans="1:10" ht="19.05" customHeight="1">
      <c r="A15" s="28" t="s">
        <v>6</v>
      </c>
      <c r="B15" s="29" t="s">
        <v>24</v>
      </c>
      <c r="C15" s="16">
        <f>+C16+C17</f>
        <v>18612376</v>
      </c>
      <c r="D15" s="16">
        <f>+D16+D17</f>
        <v>18566398</v>
      </c>
      <c r="E15" s="16">
        <f t="shared" ref="E15" si="3">+E16+E17</f>
        <v>23085488.120000001</v>
      </c>
      <c r="F15" s="16">
        <f>+E15-C15</f>
        <v>4473112.120000001</v>
      </c>
      <c r="G15" s="33">
        <f>+E15/C15%</f>
        <v>124.03299890352527</v>
      </c>
    </row>
    <row r="16" spans="1:10" ht="31.2">
      <c r="A16" s="26">
        <v>1</v>
      </c>
      <c r="B16" s="18" t="s">
        <v>72</v>
      </c>
      <c r="C16" s="17">
        <f>11595894-C20</f>
        <v>11498627</v>
      </c>
      <c r="D16" s="17">
        <f>10839000-D20</f>
        <v>10776348</v>
      </c>
      <c r="E16" s="17">
        <f>15812840-E20</f>
        <v>15683740</v>
      </c>
      <c r="F16" s="17">
        <f t="shared" ref="F16:F20" si="4">+E16-C16</f>
        <v>4185113</v>
      </c>
      <c r="G16" s="34">
        <f t="shared" ref="G16:G20" si="5">+E16/C16%</f>
        <v>136.39663239793759</v>
      </c>
    </row>
    <row r="17" spans="1:10" ht="19.05" customHeight="1">
      <c r="A17" s="26">
        <v>2</v>
      </c>
      <c r="B17" s="18" t="s">
        <v>27</v>
      </c>
      <c r="C17" s="17">
        <f>+C18+C19</f>
        <v>7113749</v>
      </c>
      <c r="D17" s="17">
        <f t="shared" ref="D17:E17" si="6">+D18+D19</f>
        <v>7790050</v>
      </c>
      <c r="E17" s="17">
        <f t="shared" si="6"/>
        <v>7401748.1200000001</v>
      </c>
      <c r="F17" s="17">
        <f t="shared" si="4"/>
        <v>287999.12000000011</v>
      </c>
      <c r="G17" s="34">
        <f t="shared" si="5"/>
        <v>104.04848582653112</v>
      </c>
      <c r="H17" s="30"/>
    </row>
    <row r="18" spans="1:10" ht="15.6">
      <c r="A18" s="26" t="s">
        <v>4</v>
      </c>
      <c r="B18" s="18" t="s">
        <v>25</v>
      </c>
      <c r="C18" s="17">
        <v>7112645</v>
      </c>
      <c r="D18" s="17">
        <v>7112645</v>
      </c>
      <c r="E18" s="17">
        <f>5749275+1607920</f>
        <v>7357195</v>
      </c>
      <c r="F18" s="17">
        <f t="shared" si="4"/>
        <v>244550</v>
      </c>
      <c r="G18" s="34">
        <f t="shared" si="5"/>
        <v>103.43824273529749</v>
      </c>
      <c r="I18" s="30"/>
    </row>
    <row r="19" spans="1:10" ht="19.05" customHeight="1">
      <c r="A19" s="26" t="s">
        <v>4</v>
      </c>
      <c r="B19" s="18" t="s">
        <v>26</v>
      </c>
      <c r="C19" s="17">
        <v>1104</v>
      </c>
      <c r="D19" s="17">
        <v>677405</v>
      </c>
      <c r="E19" s="17">
        <v>44553.119999999995</v>
      </c>
      <c r="F19" s="17">
        <f t="shared" si="4"/>
        <v>43449.119999999995</v>
      </c>
      <c r="G19" s="34">
        <f t="shared" si="5"/>
        <v>4035.608695652174</v>
      </c>
    </row>
    <row r="20" spans="1:10" ht="15.6">
      <c r="A20" s="28" t="s">
        <v>7</v>
      </c>
      <c r="B20" s="29" t="s">
        <v>89</v>
      </c>
      <c r="C20" s="16">
        <v>97267</v>
      </c>
      <c r="D20" s="16">
        <v>62652</v>
      </c>
      <c r="E20" s="16">
        <v>129100</v>
      </c>
      <c r="F20" s="16">
        <f t="shared" si="4"/>
        <v>31833</v>
      </c>
      <c r="G20" s="33">
        <f t="shared" si="5"/>
        <v>132.72744096147719</v>
      </c>
      <c r="I20" s="30"/>
      <c r="J20" s="30"/>
    </row>
    <row r="21" spans="1:10" ht="19.05" customHeight="1">
      <c r="A21" s="28" t="s">
        <v>3</v>
      </c>
      <c r="B21" s="29" t="s">
        <v>126</v>
      </c>
      <c r="C21" s="16"/>
      <c r="D21" s="16"/>
      <c r="E21" s="16"/>
      <c r="F21" s="16">
        <f t="shared" si="2"/>
        <v>0</v>
      </c>
      <c r="G21" s="33"/>
    </row>
    <row r="22" spans="1:10" ht="19.05" customHeight="1">
      <c r="A22" s="28" t="s">
        <v>9</v>
      </c>
      <c r="B22" s="29" t="s">
        <v>58</v>
      </c>
      <c r="C22" s="16">
        <f>+C23+C24+C27</f>
        <v>0</v>
      </c>
      <c r="D22" s="16">
        <f t="shared" ref="D22:E22" si="7">+D23+D24+D27</f>
        <v>0</v>
      </c>
      <c r="E22" s="16">
        <f t="shared" si="7"/>
        <v>7614641.3452000022</v>
      </c>
      <c r="F22" s="16">
        <f>+E22-D22</f>
        <v>7614641.3452000022</v>
      </c>
      <c r="G22" s="33"/>
    </row>
    <row r="23" spans="1:10" ht="15.6">
      <c r="A23" s="26">
        <v>1</v>
      </c>
      <c r="B23" s="18" t="s">
        <v>22</v>
      </c>
      <c r="C23" s="17"/>
      <c r="D23" s="17"/>
      <c r="E23" s="17">
        <v>212892.921</v>
      </c>
      <c r="F23" s="17">
        <f t="shared" si="2"/>
        <v>212892.921</v>
      </c>
      <c r="G23" s="34"/>
    </row>
    <row r="24" spans="1:10" ht="15.6">
      <c r="A24" s="26">
        <v>2</v>
      </c>
      <c r="B24" s="18" t="s">
        <v>23</v>
      </c>
      <c r="C24" s="17">
        <f>C25+C26</f>
        <v>0</v>
      </c>
      <c r="D24" s="17">
        <f t="shared" ref="D24" si="8">D25+D26</f>
        <v>0</v>
      </c>
      <c r="E24" s="17">
        <f>E25+E26</f>
        <v>5793828.4442000017</v>
      </c>
      <c r="F24" s="17">
        <f t="shared" si="2"/>
        <v>5793828.4442000017</v>
      </c>
      <c r="G24" s="34"/>
    </row>
    <row r="25" spans="1:10" ht="15.6">
      <c r="A25" s="26" t="s">
        <v>4</v>
      </c>
      <c r="B25" s="18" t="s">
        <v>103</v>
      </c>
      <c r="C25" s="17"/>
      <c r="D25" s="17"/>
      <c r="E25" s="17">
        <v>5749275.4442000017</v>
      </c>
      <c r="F25" s="17">
        <f t="shared" si="2"/>
        <v>5749275.4442000017</v>
      </c>
      <c r="G25" s="34"/>
      <c r="I25" s="30"/>
    </row>
    <row r="26" spans="1:10" ht="15.6">
      <c r="A26" s="26" t="s">
        <v>4</v>
      </c>
      <c r="B26" s="18" t="s">
        <v>10</v>
      </c>
      <c r="C26" s="17"/>
      <c r="D26" s="17"/>
      <c r="E26" s="17">
        <v>44553</v>
      </c>
      <c r="F26" s="17">
        <f t="shared" si="2"/>
        <v>44553</v>
      </c>
      <c r="G26" s="34"/>
    </row>
    <row r="27" spans="1:10" ht="17.55" customHeight="1">
      <c r="A27" s="26">
        <v>3</v>
      </c>
      <c r="B27" s="18" t="s">
        <v>102</v>
      </c>
      <c r="C27" s="17"/>
      <c r="D27" s="17"/>
      <c r="E27" s="17">
        <v>1607919.98</v>
      </c>
      <c r="F27" s="17">
        <f t="shared" si="2"/>
        <v>1607919.98</v>
      </c>
      <c r="G27" s="34"/>
    </row>
    <row r="28" spans="1:10" ht="19.05" customHeight="1">
      <c r="A28" s="28" t="s">
        <v>6</v>
      </c>
      <c r="B28" s="29" t="s">
        <v>59</v>
      </c>
      <c r="C28" s="16">
        <f>+C29+C30</f>
        <v>0</v>
      </c>
      <c r="D28" s="16">
        <f t="shared" ref="D28:E28" si="9">+D29+D30</f>
        <v>0</v>
      </c>
      <c r="E28" s="16">
        <f t="shared" si="9"/>
        <v>7614641.3228000011</v>
      </c>
      <c r="F28" s="16">
        <f>+E28-C28</f>
        <v>7614641.3228000011</v>
      </c>
      <c r="G28" s="33"/>
    </row>
    <row r="29" spans="1:10" ht="15.6">
      <c r="A29" s="26">
        <v>1</v>
      </c>
      <c r="B29" s="18" t="s">
        <v>180</v>
      </c>
      <c r="C29" s="17"/>
      <c r="D29" s="17"/>
      <c r="E29" s="17">
        <v>7614641.3228000011</v>
      </c>
      <c r="F29" s="17">
        <f t="shared" ref="F29" si="10">+E29-C29</f>
        <v>7614641.3228000011</v>
      </c>
      <c r="G29" s="34"/>
    </row>
    <row r="30" spans="1:10" ht="15.6">
      <c r="A30" s="26">
        <v>2</v>
      </c>
      <c r="B30" s="18" t="s">
        <v>74</v>
      </c>
      <c r="C30" s="17"/>
      <c r="D30" s="17"/>
      <c r="E30" s="17"/>
      <c r="F30" s="16"/>
      <c r="G30" s="33"/>
    </row>
    <row r="31" spans="1:10" ht="19.05" customHeight="1">
      <c r="A31" s="71" t="s">
        <v>7</v>
      </c>
      <c r="B31" s="72" t="s">
        <v>179</v>
      </c>
      <c r="C31" s="73">
        <f>+C22-C28</f>
        <v>0</v>
      </c>
      <c r="D31" s="73"/>
      <c r="E31" s="73">
        <f>+E22-E28</f>
        <v>2.2400001063942909E-2</v>
      </c>
      <c r="F31" s="39">
        <f t="shared" si="2"/>
        <v>2.2400001063942909E-2</v>
      </c>
      <c r="G31" s="74"/>
    </row>
    <row r="32" spans="1:10" ht="87" customHeight="1">
      <c r="B32" s="212" t="s">
        <v>115</v>
      </c>
      <c r="C32" s="212"/>
      <c r="D32" s="212"/>
      <c r="E32" s="212"/>
      <c r="F32" s="212"/>
      <c r="G32" s="212"/>
    </row>
  </sheetData>
  <mergeCells count="11">
    <mergeCell ref="A1:G1"/>
    <mergeCell ref="B32:G32"/>
    <mergeCell ref="F4:G4"/>
    <mergeCell ref="A2:G2"/>
    <mergeCell ref="A3:G3"/>
    <mergeCell ref="A5:A6"/>
    <mergeCell ref="B5:B6"/>
    <mergeCell ref="C5:C6"/>
    <mergeCell ref="D5:D6"/>
    <mergeCell ref="E5:E6"/>
    <mergeCell ref="F5:G5"/>
  </mergeCells>
  <pageMargins left="1.1100000000000001" right="0.2" top="0.75" bottom="0.17" header="0.3" footer="0.3"/>
  <pageSetup paperSize="9" scale="8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84"/>
  <sheetViews>
    <sheetView zoomScale="80" zoomScaleNormal="80" workbookViewId="0">
      <pane xSplit="3" ySplit="7" topLeftCell="D68" activePane="bottomRight" state="frozen"/>
      <selection activeCell="E9" sqref="E9"/>
      <selection pane="topRight" activeCell="E9" sqref="E9"/>
      <selection pane="bottomLeft" activeCell="E9" sqref="E9"/>
      <selection pane="bottomRight" activeCell="I6" sqref="I6"/>
    </sheetView>
  </sheetViews>
  <sheetFormatPr defaultColWidth="8.77734375" defaultRowHeight="14.4"/>
  <cols>
    <col min="1" max="1" width="5.5546875" style="22" bestFit="1" customWidth="1"/>
    <col min="2" max="2" width="21.77734375" style="22" customWidth="1"/>
    <col min="3" max="3" width="11.77734375" style="22" customWidth="1"/>
    <col min="4" max="4" width="12.77734375" style="22" customWidth="1"/>
    <col min="5" max="5" width="11.21875" style="22" bestFit="1" customWidth="1"/>
    <col min="6" max="6" width="10.44140625" style="22" customWidth="1"/>
    <col min="7" max="7" width="13.77734375" style="22" bestFit="1" customWidth="1"/>
    <col min="8" max="8" width="11" style="22" customWidth="1"/>
    <col min="9" max="9" width="9.77734375" style="22" customWidth="1"/>
    <col min="10" max="10" width="11.77734375" style="22" customWidth="1"/>
    <col min="11" max="11" width="10.44140625" style="22" customWidth="1"/>
    <col min="12" max="12" width="11.5546875" style="22" customWidth="1"/>
    <col min="13" max="14" width="8.44140625" style="22" customWidth="1"/>
    <col min="15" max="15" width="8.77734375" style="22" customWidth="1"/>
    <col min="16" max="16" width="11.21875" style="22" customWidth="1"/>
    <col min="17" max="16384" width="8.77734375" style="22"/>
  </cols>
  <sheetData>
    <row r="1" spans="1:16" ht="18" customHeight="1">
      <c r="A1" s="173" t="s">
        <v>120</v>
      </c>
      <c r="B1" s="173"/>
      <c r="C1" s="173"/>
      <c r="D1" s="173"/>
      <c r="E1" s="173"/>
      <c r="F1" s="173"/>
      <c r="G1" s="173"/>
      <c r="H1" s="173"/>
      <c r="I1" s="173"/>
      <c r="J1" s="173"/>
      <c r="K1" s="173"/>
      <c r="L1" s="173"/>
      <c r="M1" s="173"/>
      <c r="N1" s="173"/>
      <c r="O1" s="173"/>
      <c r="P1" s="173"/>
    </row>
    <row r="2" spans="1:16" ht="16.8">
      <c r="A2" s="167" t="s">
        <v>336</v>
      </c>
      <c r="B2" s="167"/>
      <c r="C2" s="167"/>
      <c r="D2" s="167"/>
      <c r="E2" s="167"/>
      <c r="F2" s="167"/>
      <c r="G2" s="167"/>
      <c r="H2" s="167"/>
      <c r="I2" s="167"/>
      <c r="J2" s="167"/>
      <c r="K2" s="167"/>
      <c r="L2" s="167"/>
      <c r="M2" s="167"/>
      <c r="N2" s="167"/>
      <c r="O2" s="167"/>
      <c r="P2" s="167"/>
    </row>
    <row r="3" spans="1:16" ht="22.5" customHeight="1">
      <c r="A3" s="177" t="s">
        <v>177</v>
      </c>
      <c r="B3" s="177"/>
      <c r="C3" s="177"/>
      <c r="D3" s="177"/>
      <c r="E3" s="177"/>
      <c r="F3" s="177"/>
      <c r="G3" s="177"/>
      <c r="H3" s="177"/>
      <c r="I3" s="177"/>
      <c r="J3" s="177"/>
      <c r="K3" s="177"/>
      <c r="L3" s="177"/>
      <c r="M3" s="177"/>
      <c r="N3" s="177"/>
      <c r="O3" s="177"/>
      <c r="P3" s="177"/>
    </row>
    <row r="4" spans="1:16" ht="15.6">
      <c r="P4" s="35" t="s">
        <v>5</v>
      </c>
    </row>
    <row r="5" spans="1:16" s="44" customFormat="1" ht="21" customHeight="1">
      <c r="A5" s="175" t="s">
        <v>0</v>
      </c>
      <c r="B5" s="175" t="s">
        <v>16</v>
      </c>
      <c r="C5" s="175" t="s">
        <v>43</v>
      </c>
      <c r="D5" s="174" t="s">
        <v>78</v>
      </c>
      <c r="E5" s="175" t="s">
        <v>79</v>
      </c>
      <c r="F5" s="175"/>
      <c r="G5" s="175"/>
      <c r="H5" s="175"/>
      <c r="I5" s="175"/>
      <c r="J5" s="175"/>
      <c r="K5" s="175"/>
      <c r="L5" s="175"/>
      <c r="M5" s="175"/>
      <c r="N5" s="175"/>
      <c r="O5" s="175"/>
      <c r="P5" s="175"/>
    </row>
    <row r="6" spans="1:16" s="44" customFormat="1" ht="130.5" customHeight="1">
      <c r="A6" s="175"/>
      <c r="B6" s="175"/>
      <c r="C6" s="175"/>
      <c r="D6" s="176"/>
      <c r="E6" s="75" t="s">
        <v>87</v>
      </c>
      <c r="F6" s="75" t="s">
        <v>75</v>
      </c>
      <c r="G6" s="75" t="s">
        <v>92</v>
      </c>
      <c r="H6" s="75" t="s">
        <v>41</v>
      </c>
      <c r="I6" s="75" t="s">
        <v>76</v>
      </c>
      <c r="J6" s="75" t="s">
        <v>20</v>
      </c>
      <c r="K6" s="75" t="s">
        <v>31</v>
      </c>
      <c r="L6" s="75" t="s">
        <v>77</v>
      </c>
      <c r="M6" s="75" t="s">
        <v>32</v>
      </c>
      <c r="N6" s="75" t="s">
        <v>112</v>
      </c>
      <c r="O6" s="75" t="s">
        <v>93</v>
      </c>
      <c r="P6" s="75" t="s">
        <v>33</v>
      </c>
    </row>
    <row r="7" spans="1:16" s="45" customFormat="1" ht="28.5" customHeight="1">
      <c r="A7" s="174" t="s">
        <v>14</v>
      </c>
      <c r="B7" s="174"/>
      <c r="C7" s="61">
        <f t="shared" ref="C7:P7" si="0">SUM(C8:C61)</f>
        <v>212892.921</v>
      </c>
      <c r="D7" s="61">
        <f>SUM(D8:D61)</f>
        <v>212892.921</v>
      </c>
      <c r="E7" s="61">
        <f t="shared" si="0"/>
        <v>0</v>
      </c>
      <c r="F7" s="61">
        <f t="shared" si="0"/>
        <v>0</v>
      </c>
      <c r="G7" s="61">
        <f t="shared" si="0"/>
        <v>0</v>
      </c>
      <c r="H7" s="61">
        <f t="shared" si="0"/>
        <v>64564</v>
      </c>
      <c r="I7" s="61">
        <f t="shared" si="0"/>
        <v>17912.420999999998</v>
      </c>
      <c r="J7" s="61">
        <f t="shared" si="0"/>
        <v>0</v>
      </c>
      <c r="K7" s="61">
        <f t="shared" si="0"/>
        <v>12189.5</v>
      </c>
      <c r="L7" s="61">
        <f t="shared" si="0"/>
        <v>0</v>
      </c>
      <c r="M7" s="61">
        <f t="shared" si="0"/>
        <v>0</v>
      </c>
      <c r="N7" s="61">
        <f t="shared" si="0"/>
        <v>0</v>
      </c>
      <c r="O7" s="61">
        <f t="shared" si="0"/>
        <v>1890</v>
      </c>
      <c r="P7" s="61">
        <f t="shared" si="0"/>
        <v>116337</v>
      </c>
    </row>
    <row r="8" spans="1:16" s="44" customFormat="1" ht="30.75" customHeight="1">
      <c r="A8" s="56">
        <v>1</v>
      </c>
      <c r="B8" s="57" t="s">
        <v>127</v>
      </c>
      <c r="C8" s="62">
        <f>+D8</f>
        <v>36690</v>
      </c>
      <c r="D8" s="62">
        <f>SUM(E8:P8)</f>
        <v>36690</v>
      </c>
      <c r="E8" s="62"/>
      <c r="F8" s="62"/>
      <c r="G8" s="62"/>
      <c r="H8" s="62">
        <v>16300</v>
      </c>
      <c r="I8" s="62">
        <v>9350</v>
      </c>
      <c r="J8" s="62"/>
      <c r="K8" s="62">
        <v>1575</v>
      </c>
      <c r="L8" s="62"/>
      <c r="M8" s="62"/>
      <c r="N8" s="62"/>
      <c r="O8" s="62">
        <v>1770</v>
      </c>
      <c r="P8" s="62">
        <v>7695</v>
      </c>
    </row>
    <row r="9" spans="1:16" s="44" customFormat="1" ht="25.05" customHeight="1">
      <c r="A9" s="56">
        <v>2</v>
      </c>
      <c r="B9" s="57" t="s">
        <v>128</v>
      </c>
      <c r="C9" s="62">
        <f t="shared" ref="C9:C61" si="1">+D9</f>
        <v>7910</v>
      </c>
      <c r="D9" s="62">
        <f t="shared" ref="D9:D61" si="2">SUM(E9:P9)</f>
        <v>7910</v>
      </c>
      <c r="E9" s="62"/>
      <c r="F9" s="62"/>
      <c r="G9" s="62"/>
      <c r="H9" s="62">
        <v>3490</v>
      </c>
      <c r="I9" s="62">
        <v>1870</v>
      </c>
      <c r="J9" s="62"/>
      <c r="K9" s="62">
        <v>465</v>
      </c>
      <c r="L9" s="62"/>
      <c r="M9" s="62"/>
      <c r="N9" s="62"/>
      <c r="O9" s="62">
        <v>50</v>
      </c>
      <c r="P9" s="62">
        <v>2035</v>
      </c>
    </row>
    <row r="10" spans="1:16" s="44" customFormat="1" ht="25.05" customHeight="1">
      <c r="A10" s="56">
        <v>3</v>
      </c>
      <c r="B10" s="57" t="s">
        <v>129</v>
      </c>
      <c r="C10" s="62">
        <f t="shared" si="1"/>
        <v>4530</v>
      </c>
      <c r="D10" s="62">
        <f t="shared" si="2"/>
        <v>4530</v>
      </c>
      <c r="E10" s="62"/>
      <c r="F10" s="62"/>
      <c r="G10" s="62"/>
      <c r="H10" s="62">
        <v>1970</v>
      </c>
      <c r="I10" s="62">
        <v>1630</v>
      </c>
      <c r="J10" s="62"/>
      <c r="K10" s="62">
        <v>400</v>
      </c>
      <c r="L10" s="62"/>
      <c r="M10" s="62"/>
      <c r="N10" s="62"/>
      <c r="O10" s="62">
        <v>0</v>
      </c>
      <c r="P10" s="62">
        <v>530</v>
      </c>
    </row>
    <row r="11" spans="1:16" s="44" customFormat="1" ht="25.05" customHeight="1">
      <c r="A11" s="56">
        <v>4</v>
      </c>
      <c r="B11" s="57" t="s">
        <v>130</v>
      </c>
      <c r="C11" s="62">
        <f t="shared" si="1"/>
        <v>1570</v>
      </c>
      <c r="D11" s="62">
        <f t="shared" si="2"/>
        <v>1570</v>
      </c>
      <c r="E11" s="62"/>
      <c r="F11" s="62"/>
      <c r="G11" s="62"/>
      <c r="H11" s="62">
        <v>300</v>
      </c>
      <c r="I11" s="62">
        <v>120</v>
      </c>
      <c r="J11" s="62"/>
      <c r="K11" s="62">
        <v>120</v>
      </c>
      <c r="L11" s="62"/>
      <c r="M11" s="62"/>
      <c r="N11" s="62"/>
      <c r="O11" s="62">
        <v>20</v>
      </c>
      <c r="P11" s="62">
        <v>1010</v>
      </c>
    </row>
    <row r="12" spans="1:16" s="44" customFormat="1" ht="25.05" customHeight="1">
      <c r="A12" s="56">
        <v>5</v>
      </c>
      <c r="B12" s="58" t="s">
        <v>131</v>
      </c>
      <c r="C12" s="62">
        <f t="shared" si="1"/>
        <v>7564</v>
      </c>
      <c r="D12" s="62">
        <f t="shared" si="2"/>
        <v>7564</v>
      </c>
      <c r="E12" s="62"/>
      <c r="F12" s="62"/>
      <c r="G12" s="62"/>
      <c r="H12" s="62">
        <v>4300</v>
      </c>
      <c r="I12" s="62">
        <v>2430</v>
      </c>
      <c r="J12" s="62"/>
      <c r="K12" s="62">
        <v>677</v>
      </c>
      <c r="L12" s="62"/>
      <c r="M12" s="62"/>
      <c r="N12" s="62"/>
      <c r="O12" s="62"/>
      <c r="P12" s="62">
        <v>157</v>
      </c>
    </row>
    <row r="13" spans="1:16" s="44" customFormat="1" ht="25.05" customHeight="1">
      <c r="A13" s="56">
        <v>6</v>
      </c>
      <c r="B13" s="58" t="s">
        <v>132</v>
      </c>
      <c r="C13" s="62">
        <f t="shared" si="1"/>
        <v>2536</v>
      </c>
      <c r="D13" s="62">
        <f t="shared" si="2"/>
        <v>2536</v>
      </c>
      <c r="E13" s="62"/>
      <c r="F13" s="62"/>
      <c r="G13" s="62"/>
      <c r="H13" s="62">
        <v>1700</v>
      </c>
      <c r="I13" s="62">
        <v>470</v>
      </c>
      <c r="J13" s="62"/>
      <c r="K13" s="62">
        <v>323</v>
      </c>
      <c r="L13" s="62"/>
      <c r="M13" s="62"/>
      <c r="N13" s="62"/>
      <c r="O13" s="62"/>
      <c r="P13" s="62">
        <v>43</v>
      </c>
    </row>
    <row r="14" spans="1:16" s="44" customFormat="1" ht="25.05" customHeight="1">
      <c r="A14" s="56">
        <v>7</v>
      </c>
      <c r="B14" s="57" t="s">
        <v>172</v>
      </c>
      <c r="C14" s="62">
        <f t="shared" si="1"/>
        <v>5027</v>
      </c>
      <c r="D14" s="62">
        <f t="shared" si="2"/>
        <v>5027</v>
      </c>
      <c r="E14" s="62"/>
      <c r="F14" s="62"/>
      <c r="G14" s="62"/>
      <c r="H14" s="62">
        <v>1130</v>
      </c>
      <c r="I14" s="62">
        <v>153</v>
      </c>
      <c r="J14" s="62"/>
      <c r="K14" s="62">
        <v>244</v>
      </c>
      <c r="L14" s="62"/>
      <c r="M14" s="62"/>
      <c r="N14" s="62"/>
      <c r="O14" s="62"/>
      <c r="P14" s="62">
        <v>3500</v>
      </c>
    </row>
    <row r="15" spans="1:16" s="44" customFormat="1" ht="25.05" customHeight="1">
      <c r="A15" s="56">
        <v>8</v>
      </c>
      <c r="B15" s="57" t="s">
        <v>173</v>
      </c>
      <c r="C15" s="62">
        <f t="shared" si="1"/>
        <v>7449</v>
      </c>
      <c r="D15" s="62">
        <f t="shared" si="2"/>
        <v>7449</v>
      </c>
      <c r="E15" s="62"/>
      <c r="F15" s="62"/>
      <c r="G15" s="62"/>
      <c r="H15" s="62">
        <v>770</v>
      </c>
      <c r="I15" s="62">
        <v>80</v>
      </c>
      <c r="J15" s="62"/>
      <c r="K15" s="62">
        <v>160</v>
      </c>
      <c r="L15" s="62"/>
      <c r="M15" s="62"/>
      <c r="N15" s="62"/>
      <c r="O15" s="62"/>
      <c r="P15" s="62">
        <v>6439</v>
      </c>
    </row>
    <row r="16" spans="1:16" s="44" customFormat="1" ht="25.05" customHeight="1">
      <c r="A16" s="56">
        <v>9</v>
      </c>
      <c r="B16" s="57" t="s">
        <v>174</v>
      </c>
      <c r="C16" s="62">
        <f t="shared" si="1"/>
        <v>2574</v>
      </c>
      <c r="D16" s="62">
        <f t="shared" si="2"/>
        <v>2574</v>
      </c>
      <c r="E16" s="62"/>
      <c r="F16" s="62"/>
      <c r="G16" s="62"/>
      <c r="H16" s="62">
        <v>520</v>
      </c>
      <c r="I16" s="62">
        <v>27</v>
      </c>
      <c r="J16" s="62"/>
      <c r="K16" s="62">
        <v>195</v>
      </c>
      <c r="L16" s="62"/>
      <c r="M16" s="62"/>
      <c r="N16" s="62"/>
      <c r="O16" s="62"/>
      <c r="P16" s="62">
        <v>1832</v>
      </c>
    </row>
    <row r="17" spans="1:16" s="46" customFormat="1" ht="25.05" customHeight="1">
      <c r="A17" s="56">
        <v>10</v>
      </c>
      <c r="B17" s="57" t="s">
        <v>133</v>
      </c>
      <c r="C17" s="62">
        <f t="shared" si="1"/>
        <v>1148</v>
      </c>
      <c r="D17" s="62">
        <f t="shared" si="2"/>
        <v>1148</v>
      </c>
      <c r="E17" s="62"/>
      <c r="F17" s="62"/>
      <c r="G17" s="62"/>
      <c r="H17" s="62">
        <v>420</v>
      </c>
      <c r="I17" s="62">
        <v>13</v>
      </c>
      <c r="J17" s="62"/>
      <c r="K17" s="62">
        <v>155</v>
      </c>
      <c r="L17" s="62"/>
      <c r="M17" s="62"/>
      <c r="N17" s="62"/>
      <c r="O17" s="62"/>
      <c r="P17" s="62">
        <v>560</v>
      </c>
    </row>
    <row r="18" spans="1:16" s="47" customFormat="1" ht="25.05" customHeight="1">
      <c r="A18" s="56">
        <v>11</v>
      </c>
      <c r="B18" s="57" t="s">
        <v>175</v>
      </c>
      <c r="C18" s="62">
        <f t="shared" si="1"/>
        <v>2222</v>
      </c>
      <c r="D18" s="62">
        <f t="shared" si="2"/>
        <v>2222</v>
      </c>
      <c r="E18" s="62"/>
      <c r="F18" s="62"/>
      <c r="G18" s="62"/>
      <c r="H18" s="62">
        <v>460</v>
      </c>
      <c r="I18" s="62">
        <v>7</v>
      </c>
      <c r="J18" s="62"/>
      <c r="K18" s="62">
        <v>86</v>
      </c>
      <c r="L18" s="62"/>
      <c r="M18" s="62"/>
      <c r="N18" s="62"/>
      <c r="O18" s="62"/>
      <c r="P18" s="62">
        <v>1669</v>
      </c>
    </row>
    <row r="19" spans="1:16" s="47" customFormat="1" ht="25.05" customHeight="1">
      <c r="A19" s="56">
        <v>12</v>
      </c>
      <c r="B19" s="60" t="s">
        <v>187</v>
      </c>
      <c r="C19" s="62">
        <f t="shared" si="1"/>
        <v>4306</v>
      </c>
      <c r="D19" s="62">
        <f t="shared" si="2"/>
        <v>4306</v>
      </c>
      <c r="E19" s="62"/>
      <c r="F19" s="62"/>
      <c r="G19" s="62"/>
      <c r="H19" s="62">
        <v>1234</v>
      </c>
      <c r="I19" s="62">
        <v>122</v>
      </c>
      <c r="J19" s="62"/>
      <c r="K19" s="62">
        <v>364</v>
      </c>
      <c r="L19" s="62"/>
      <c r="M19" s="62"/>
      <c r="N19" s="62"/>
      <c r="O19" s="62"/>
      <c r="P19" s="62">
        <v>2586</v>
      </c>
    </row>
    <row r="20" spans="1:16" s="47" customFormat="1" ht="25.05" customHeight="1">
      <c r="A20" s="56">
        <v>13</v>
      </c>
      <c r="B20" s="60" t="s">
        <v>182</v>
      </c>
      <c r="C20" s="62">
        <f t="shared" si="1"/>
        <v>11794</v>
      </c>
      <c r="D20" s="62">
        <f t="shared" si="2"/>
        <v>11794</v>
      </c>
      <c r="E20" s="62"/>
      <c r="F20" s="62"/>
      <c r="G20" s="62"/>
      <c r="H20" s="62">
        <v>1729</v>
      </c>
      <c r="I20" s="62">
        <v>201</v>
      </c>
      <c r="J20" s="62"/>
      <c r="K20" s="62">
        <v>332</v>
      </c>
      <c r="L20" s="62"/>
      <c r="M20" s="62"/>
      <c r="N20" s="62"/>
      <c r="O20" s="62"/>
      <c r="P20" s="62">
        <v>9532</v>
      </c>
    </row>
    <row r="21" spans="1:16" s="47" customFormat="1" ht="25.05" customHeight="1">
      <c r="A21" s="56">
        <v>14</v>
      </c>
      <c r="B21" s="60" t="s">
        <v>183</v>
      </c>
      <c r="C21" s="62">
        <f t="shared" si="1"/>
        <v>7670</v>
      </c>
      <c r="D21" s="62">
        <f t="shared" si="2"/>
        <v>7670</v>
      </c>
      <c r="E21" s="62"/>
      <c r="F21" s="62"/>
      <c r="G21" s="62"/>
      <c r="H21" s="62">
        <v>1478</v>
      </c>
      <c r="I21" s="62">
        <v>55</v>
      </c>
      <c r="J21" s="62"/>
      <c r="K21" s="62">
        <v>403</v>
      </c>
      <c r="L21" s="62"/>
      <c r="M21" s="62"/>
      <c r="N21" s="62"/>
      <c r="O21" s="62"/>
      <c r="P21" s="62">
        <v>5734</v>
      </c>
    </row>
    <row r="22" spans="1:16" s="47" customFormat="1" ht="25.05" customHeight="1">
      <c r="A22" s="56">
        <v>15</v>
      </c>
      <c r="B22" s="60" t="s">
        <v>184</v>
      </c>
      <c r="C22" s="62">
        <f t="shared" si="1"/>
        <v>5501</v>
      </c>
      <c r="D22" s="62">
        <f t="shared" si="2"/>
        <v>5501</v>
      </c>
      <c r="E22" s="62"/>
      <c r="F22" s="62"/>
      <c r="G22" s="62"/>
      <c r="H22" s="62">
        <v>1626</v>
      </c>
      <c r="I22" s="62">
        <v>180</v>
      </c>
      <c r="J22" s="62"/>
      <c r="K22" s="62">
        <v>388</v>
      </c>
      <c r="L22" s="62"/>
      <c r="M22" s="62"/>
      <c r="N22" s="62"/>
      <c r="O22" s="62"/>
      <c r="P22" s="62">
        <v>3307</v>
      </c>
    </row>
    <row r="23" spans="1:16" s="47" customFormat="1" ht="25.05" customHeight="1">
      <c r="A23" s="56">
        <v>16</v>
      </c>
      <c r="B23" s="60" t="s">
        <v>185</v>
      </c>
      <c r="C23" s="62">
        <f t="shared" si="1"/>
        <v>2228</v>
      </c>
      <c r="D23" s="62">
        <f t="shared" si="2"/>
        <v>2228</v>
      </c>
      <c r="E23" s="62"/>
      <c r="F23" s="62"/>
      <c r="G23" s="62"/>
      <c r="H23" s="62">
        <v>774</v>
      </c>
      <c r="I23" s="62">
        <v>20</v>
      </c>
      <c r="J23" s="62"/>
      <c r="K23" s="62">
        <v>247</v>
      </c>
      <c r="L23" s="62"/>
      <c r="M23" s="62"/>
      <c r="N23" s="62"/>
      <c r="O23" s="62"/>
      <c r="P23" s="62">
        <v>1187</v>
      </c>
    </row>
    <row r="24" spans="1:16" s="47" customFormat="1" ht="25.05" customHeight="1">
      <c r="A24" s="56">
        <v>17</v>
      </c>
      <c r="B24" s="60" t="s">
        <v>186</v>
      </c>
      <c r="C24" s="62">
        <f t="shared" si="1"/>
        <v>5735</v>
      </c>
      <c r="D24" s="62">
        <f t="shared" si="2"/>
        <v>5735</v>
      </c>
      <c r="E24" s="62"/>
      <c r="F24" s="62"/>
      <c r="G24" s="62"/>
      <c r="H24" s="62">
        <v>930</v>
      </c>
      <c r="I24" s="62">
        <v>22</v>
      </c>
      <c r="J24" s="62"/>
      <c r="K24" s="62">
        <v>268</v>
      </c>
      <c r="L24" s="62"/>
      <c r="M24" s="62"/>
      <c r="N24" s="62"/>
      <c r="O24" s="62"/>
      <c r="P24" s="62">
        <v>4515</v>
      </c>
    </row>
    <row r="25" spans="1:16" s="47" customFormat="1" ht="25.05" customHeight="1">
      <c r="A25" s="56">
        <v>18</v>
      </c>
      <c r="B25" s="60" t="s">
        <v>134</v>
      </c>
      <c r="C25" s="62">
        <f t="shared" si="1"/>
        <v>5177</v>
      </c>
      <c r="D25" s="62">
        <f t="shared" si="2"/>
        <v>5177</v>
      </c>
      <c r="E25" s="62"/>
      <c r="F25" s="62"/>
      <c r="G25" s="62"/>
      <c r="H25" s="62">
        <v>720</v>
      </c>
      <c r="I25" s="62">
        <v>44</v>
      </c>
      <c r="J25" s="62"/>
      <c r="K25" s="62">
        <v>281</v>
      </c>
      <c r="L25" s="62"/>
      <c r="M25" s="62"/>
      <c r="N25" s="62"/>
      <c r="O25" s="62"/>
      <c r="P25" s="62">
        <v>4132</v>
      </c>
    </row>
    <row r="26" spans="1:16" s="47" customFormat="1" ht="25.05" customHeight="1">
      <c r="A26" s="56">
        <v>19</v>
      </c>
      <c r="B26" s="60" t="s">
        <v>135</v>
      </c>
      <c r="C26" s="62">
        <f t="shared" si="1"/>
        <v>2010.521</v>
      </c>
      <c r="D26" s="62">
        <f t="shared" si="2"/>
        <v>2010.521</v>
      </c>
      <c r="E26" s="62"/>
      <c r="F26" s="62"/>
      <c r="G26" s="62"/>
      <c r="H26" s="62">
        <v>455</v>
      </c>
      <c r="I26" s="62">
        <v>28.420999999999999</v>
      </c>
      <c r="J26" s="62"/>
      <c r="K26" s="62">
        <v>137.1</v>
      </c>
      <c r="L26" s="62"/>
      <c r="M26" s="62"/>
      <c r="N26" s="62"/>
      <c r="O26" s="62"/>
      <c r="P26" s="62">
        <v>1390</v>
      </c>
    </row>
    <row r="27" spans="1:16" s="47" customFormat="1" ht="25.05" customHeight="1">
      <c r="A27" s="56">
        <v>20</v>
      </c>
      <c r="B27" s="60" t="s">
        <v>136</v>
      </c>
      <c r="C27" s="62">
        <f t="shared" si="1"/>
        <v>8558.4</v>
      </c>
      <c r="D27" s="62">
        <f t="shared" si="2"/>
        <v>8558.4</v>
      </c>
      <c r="E27" s="62"/>
      <c r="F27" s="62"/>
      <c r="G27" s="62"/>
      <c r="H27" s="62">
        <v>460</v>
      </c>
      <c r="I27" s="62">
        <v>7</v>
      </c>
      <c r="J27" s="62"/>
      <c r="K27" s="62">
        <v>200.4</v>
      </c>
      <c r="L27" s="62"/>
      <c r="M27" s="62"/>
      <c r="N27" s="62"/>
      <c r="O27" s="62"/>
      <c r="P27" s="62">
        <v>7891</v>
      </c>
    </row>
    <row r="28" spans="1:16" s="47" customFormat="1" ht="25.05" customHeight="1">
      <c r="A28" s="56">
        <v>21</v>
      </c>
      <c r="B28" s="60" t="s">
        <v>137</v>
      </c>
      <c r="C28" s="62">
        <f t="shared" si="1"/>
        <v>6844</v>
      </c>
      <c r="D28" s="62">
        <f t="shared" si="2"/>
        <v>6844</v>
      </c>
      <c r="E28" s="62"/>
      <c r="F28" s="62"/>
      <c r="G28" s="62"/>
      <c r="H28" s="62">
        <v>480</v>
      </c>
      <c r="I28" s="62">
        <v>27</v>
      </c>
      <c r="J28" s="62"/>
      <c r="K28" s="62">
        <v>165</v>
      </c>
      <c r="L28" s="62"/>
      <c r="M28" s="62"/>
      <c r="N28" s="62"/>
      <c r="O28" s="62"/>
      <c r="P28" s="62">
        <v>6172</v>
      </c>
    </row>
    <row r="29" spans="1:16" s="47" customFormat="1" ht="25.05" customHeight="1">
      <c r="A29" s="56">
        <v>22</v>
      </c>
      <c r="B29" s="60" t="s">
        <v>138</v>
      </c>
      <c r="C29" s="62">
        <f t="shared" si="1"/>
        <v>2668</v>
      </c>
      <c r="D29" s="62">
        <f t="shared" si="2"/>
        <v>2668</v>
      </c>
      <c r="E29" s="62"/>
      <c r="F29" s="62"/>
      <c r="G29" s="62"/>
      <c r="H29" s="62">
        <v>280</v>
      </c>
      <c r="I29" s="62">
        <v>1</v>
      </c>
      <c r="J29" s="62"/>
      <c r="K29" s="62">
        <v>107</v>
      </c>
      <c r="L29" s="62"/>
      <c r="M29" s="62"/>
      <c r="N29" s="62"/>
      <c r="O29" s="62"/>
      <c r="P29" s="62">
        <v>2280</v>
      </c>
    </row>
    <row r="30" spans="1:16" s="47" customFormat="1" ht="25.05" customHeight="1">
      <c r="A30" s="56">
        <v>23</v>
      </c>
      <c r="B30" s="60" t="s">
        <v>139</v>
      </c>
      <c r="C30" s="62">
        <f t="shared" si="1"/>
        <v>1033</v>
      </c>
      <c r="D30" s="62">
        <f t="shared" si="2"/>
        <v>1033</v>
      </c>
      <c r="E30" s="62"/>
      <c r="F30" s="62"/>
      <c r="G30" s="62"/>
      <c r="H30" s="62">
        <v>370</v>
      </c>
      <c r="I30" s="62">
        <v>15</v>
      </c>
      <c r="J30" s="62"/>
      <c r="K30" s="62">
        <v>109</v>
      </c>
      <c r="L30" s="62"/>
      <c r="M30" s="62"/>
      <c r="N30" s="62"/>
      <c r="O30" s="62"/>
      <c r="P30" s="62">
        <v>539</v>
      </c>
    </row>
    <row r="31" spans="1:16" s="47" customFormat="1" ht="25.05" customHeight="1">
      <c r="A31" s="56">
        <v>24</v>
      </c>
      <c r="B31" s="60" t="s">
        <v>141</v>
      </c>
      <c r="C31" s="62">
        <f t="shared" si="1"/>
        <v>2034</v>
      </c>
      <c r="D31" s="62">
        <f t="shared" si="2"/>
        <v>2034</v>
      </c>
      <c r="E31" s="62"/>
      <c r="F31" s="62"/>
      <c r="G31" s="62"/>
      <c r="H31" s="62">
        <v>1000</v>
      </c>
      <c r="I31" s="62">
        <v>35</v>
      </c>
      <c r="J31" s="62"/>
      <c r="K31" s="62">
        <v>179</v>
      </c>
      <c r="L31" s="62"/>
      <c r="M31" s="62"/>
      <c r="N31" s="62"/>
      <c r="O31" s="62"/>
      <c r="P31" s="62">
        <v>820</v>
      </c>
    </row>
    <row r="32" spans="1:16" s="47" customFormat="1" ht="25.05" customHeight="1">
      <c r="A32" s="56">
        <v>25</v>
      </c>
      <c r="B32" s="60" t="s">
        <v>142</v>
      </c>
      <c r="C32" s="62">
        <f t="shared" si="1"/>
        <v>5700</v>
      </c>
      <c r="D32" s="62">
        <f t="shared" si="2"/>
        <v>5700</v>
      </c>
      <c r="E32" s="62"/>
      <c r="F32" s="62"/>
      <c r="G32" s="62"/>
      <c r="H32" s="62">
        <v>1550</v>
      </c>
      <c r="I32" s="62">
        <v>80</v>
      </c>
      <c r="J32" s="62"/>
      <c r="K32" s="62">
        <v>250</v>
      </c>
      <c r="L32" s="62"/>
      <c r="M32" s="62"/>
      <c r="N32" s="62"/>
      <c r="O32" s="62"/>
      <c r="P32" s="62">
        <v>3820</v>
      </c>
    </row>
    <row r="33" spans="1:16" s="47" customFormat="1" ht="25.05" customHeight="1">
      <c r="A33" s="56">
        <v>26</v>
      </c>
      <c r="B33" s="60" t="s">
        <v>140</v>
      </c>
      <c r="C33" s="62">
        <f t="shared" si="1"/>
        <v>3643</v>
      </c>
      <c r="D33" s="62">
        <f t="shared" si="2"/>
        <v>3643</v>
      </c>
      <c r="E33" s="62"/>
      <c r="F33" s="62"/>
      <c r="G33" s="62"/>
      <c r="H33" s="62">
        <v>1450</v>
      </c>
      <c r="I33" s="62">
        <v>141</v>
      </c>
      <c r="J33" s="62"/>
      <c r="K33" s="62">
        <v>302</v>
      </c>
      <c r="L33" s="62"/>
      <c r="M33" s="62"/>
      <c r="N33" s="62"/>
      <c r="O33" s="62"/>
      <c r="P33" s="62">
        <v>1750</v>
      </c>
    </row>
    <row r="34" spans="1:16" s="47" customFormat="1" ht="25.05" customHeight="1">
      <c r="A34" s="56">
        <v>27</v>
      </c>
      <c r="B34" s="60" t="s">
        <v>143</v>
      </c>
      <c r="C34" s="62">
        <f t="shared" si="1"/>
        <v>8226</v>
      </c>
      <c r="D34" s="62">
        <f t="shared" si="2"/>
        <v>8226</v>
      </c>
      <c r="E34" s="62"/>
      <c r="F34" s="62"/>
      <c r="G34" s="62"/>
      <c r="H34" s="62">
        <v>720</v>
      </c>
      <c r="I34" s="62">
        <v>132</v>
      </c>
      <c r="J34" s="62"/>
      <c r="K34" s="62">
        <v>289</v>
      </c>
      <c r="L34" s="62"/>
      <c r="M34" s="62"/>
      <c r="N34" s="62"/>
      <c r="O34" s="62"/>
      <c r="P34" s="62">
        <v>7085</v>
      </c>
    </row>
    <row r="35" spans="1:16" s="47" customFormat="1" ht="25.05" customHeight="1">
      <c r="A35" s="56">
        <v>28</v>
      </c>
      <c r="B35" s="60" t="s">
        <v>144</v>
      </c>
      <c r="C35" s="62">
        <f t="shared" si="1"/>
        <v>2183</v>
      </c>
      <c r="D35" s="62">
        <f t="shared" si="2"/>
        <v>2183</v>
      </c>
      <c r="E35" s="62"/>
      <c r="F35" s="62"/>
      <c r="G35" s="62"/>
      <c r="H35" s="62">
        <v>1300</v>
      </c>
      <c r="I35" s="62">
        <v>12</v>
      </c>
      <c r="J35" s="62"/>
      <c r="K35" s="62">
        <v>221</v>
      </c>
      <c r="L35" s="62"/>
      <c r="M35" s="62"/>
      <c r="N35" s="62"/>
      <c r="O35" s="62"/>
      <c r="P35" s="62">
        <v>650</v>
      </c>
    </row>
    <row r="36" spans="1:16" s="47" customFormat="1" ht="25.05" customHeight="1">
      <c r="A36" s="56">
        <v>29</v>
      </c>
      <c r="B36" s="60" t="s">
        <v>145</v>
      </c>
      <c r="C36" s="62">
        <f t="shared" si="1"/>
        <v>5617</v>
      </c>
      <c r="D36" s="62">
        <f t="shared" si="2"/>
        <v>5617</v>
      </c>
      <c r="E36" s="62"/>
      <c r="F36" s="62"/>
      <c r="G36" s="62"/>
      <c r="H36" s="62">
        <v>1464</v>
      </c>
      <c r="I36" s="62">
        <v>155</v>
      </c>
      <c r="J36" s="62"/>
      <c r="K36" s="62">
        <v>212</v>
      </c>
      <c r="L36" s="62"/>
      <c r="M36" s="62"/>
      <c r="N36" s="62"/>
      <c r="O36" s="62"/>
      <c r="P36" s="62">
        <v>3786</v>
      </c>
    </row>
    <row r="37" spans="1:16" s="47" customFormat="1" ht="25.05" customHeight="1">
      <c r="A37" s="56">
        <v>30</v>
      </c>
      <c r="B37" s="60" t="s">
        <v>146</v>
      </c>
      <c r="C37" s="62">
        <f t="shared" si="1"/>
        <v>2998</v>
      </c>
      <c r="D37" s="62">
        <f t="shared" si="2"/>
        <v>2998</v>
      </c>
      <c r="E37" s="62"/>
      <c r="F37" s="62"/>
      <c r="G37" s="62"/>
      <c r="H37" s="62">
        <v>926</v>
      </c>
      <c r="I37" s="62">
        <v>96</v>
      </c>
      <c r="J37" s="62"/>
      <c r="K37" s="62">
        <v>235</v>
      </c>
      <c r="L37" s="62"/>
      <c r="M37" s="62"/>
      <c r="N37" s="62"/>
      <c r="O37" s="62"/>
      <c r="P37" s="62">
        <v>1741</v>
      </c>
    </row>
    <row r="38" spans="1:16" s="47" customFormat="1" ht="25.05" customHeight="1">
      <c r="A38" s="56">
        <v>31</v>
      </c>
      <c r="B38" s="60" t="s">
        <v>147</v>
      </c>
      <c r="C38" s="62">
        <f t="shared" si="1"/>
        <v>1131</v>
      </c>
      <c r="D38" s="62">
        <f t="shared" si="2"/>
        <v>1131</v>
      </c>
      <c r="E38" s="62"/>
      <c r="F38" s="62"/>
      <c r="G38" s="62"/>
      <c r="H38" s="62">
        <v>714</v>
      </c>
      <c r="I38" s="62">
        <v>35</v>
      </c>
      <c r="J38" s="62"/>
      <c r="K38" s="62">
        <v>128</v>
      </c>
      <c r="L38" s="62"/>
      <c r="M38" s="62"/>
      <c r="N38" s="62"/>
      <c r="O38" s="62"/>
      <c r="P38" s="62">
        <v>254</v>
      </c>
    </row>
    <row r="39" spans="1:16" s="47" customFormat="1" ht="25.05" customHeight="1">
      <c r="A39" s="56">
        <v>32</v>
      </c>
      <c r="B39" s="60" t="s">
        <v>148</v>
      </c>
      <c r="C39" s="62">
        <f t="shared" si="1"/>
        <v>1094</v>
      </c>
      <c r="D39" s="62">
        <f t="shared" si="2"/>
        <v>1094</v>
      </c>
      <c r="E39" s="62"/>
      <c r="F39" s="62"/>
      <c r="G39" s="62"/>
      <c r="H39" s="62">
        <v>506</v>
      </c>
      <c r="I39" s="62">
        <v>2</v>
      </c>
      <c r="J39" s="62"/>
      <c r="K39" s="62">
        <v>126</v>
      </c>
      <c r="L39" s="62"/>
      <c r="M39" s="62"/>
      <c r="N39" s="62"/>
      <c r="O39" s="62"/>
      <c r="P39" s="62">
        <v>460</v>
      </c>
    </row>
    <row r="40" spans="1:16" s="47" customFormat="1" ht="25.05" customHeight="1">
      <c r="A40" s="56">
        <v>33</v>
      </c>
      <c r="B40" s="60" t="s">
        <v>149</v>
      </c>
      <c r="C40" s="62">
        <f t="shared" si="1"/>
        <v>1203</v>
      </c>
      <c r="D40" s="62">
        <f t="shared" si="2"/>
        <v>1203</v>
      </c>
      <c r="E40" s="62"/>
      <c r="F40" s="62"/>
      <c r="G40" s="62"/>
      <c r="H40" s="62">
        <v>568</v>
      </c>
      <c r="I40" s="62">
        <v>12</v>
      </c>
      <c r="J40" s="62"/>
      <c r="K40" s="62">
        <v>198</v>
      </c>
      <c r="L40" s="62"/>
      <c r="M40" s="62"/>
      <c r="N40" s="62"/>
      <c r="O40" s="62">
        <v>50</v>
      </c>
      <c r="P40" s="62">
        <v>375</v>
      </c>
    </row>
    <row r="41" spans="1:16" s="47" customFormat="1" ht="25.05" customHeight="1">
      <c r="A41" s="56">
        <v>34</v>
      </c>
      <c r="B41" s="60" t="s">
        <v>150</v>
      </c>
      <c r="C41" s="62">
        <f t="shared" si="1"/>
        <v>2821</v>
      </c>
      <c r="D41" s="62">
        <f t="shared" si="2"/>
        <v>2821</v>
      </c>
      <c r="E41" s="62"/>
      <c r="F41" s="62"/>
      <c r="G41" s="62"/>
      <c r="H41" s="62">
        <v>1140</v>
      </c>
      <c r="I41" s="62">
        <v>31</v>
      </c>
      <c r="J41" s="62"/>
      <c r="K41" s="62">
        <v>284</v>
      </c>
      <c r="L41" s="62"/>
      <c r="M41" s="62"/>
      <c r="N41" s="62"/>
      <c r="O41" s="62"/>
      <c r="P41" s="62">
        <v>1366</v>
      </c>
    </row>
    <row r="42" spans="1:16" s="47" customFormat="1" ht="25.05" customHeight="1">
      <c r="A42" s="56">
        <v>35</v>
      </c>
      <c r="B42" s="60" t="s">
        <v>151</v>
      </c>
      <c r="C42" s="62">
        <f t="shared" si="1"/>
        <v>2793</v>
      </c>
      <c r="D42" s="62">
        <f t="shared" si="2"/>
        <v>2793</v>
      </c>
      <c r="E42" s="62"/>
      <c r="F42" s="62"/>
      <c r="G42" s="62"/>
      <c r="H42" s="62">
        <v>665</v>
      </c>
      <c r="I42" s="62">
        <v>21</v>
      </c>
      <c r="J42" s="62"/>
      <c r="K42" s="62">
        <v>208</v>
      </c>
      <c r="L42" s="62"/>
      <c r="M42" s="62"/>
      <c r="N42" s="62"/>
      <c r="O42" s="62"/>
      <c r="P42" s="62">
        <v>1899</v>
      </c>
    </row>
    <row r="43" spans="1:16" s="47" customFormat="1" ht="25.05" customHeight="1">
      <c r="A43" s="56">
        <v>36</v>
      </c>
      <c r="B43" s="60" t="s">
        <v>152</v>
      </c>
      <c r="C43" s="62">
        <f t="shared" si="1"/>
        <v>1784</v>
      </c>
      <c r="D43" s="62">
        <f t="shared" si="2"/>
        <v>1784</v>
      </c>
      <c r="E43" s="62"/>
      <c r="F43" s="62"/>
      <c r="G43" s="62"/>
      <c r="H43" s="62">
        <v>820</v>
      </c>
      <c r="I43" s="62">
        <v>3</v>
      </c>
      <c r="J43" s="62"/>
      <c r="K43" s="62">
        <v>196</v>
      </c>
      <c r="L43" s="62"/>
      <c r="M43" s="62"/>
      <c r="N43" s="62"/>
      <c r="O43" s="62"/>
      <c r="P43" s="62">
        <v>765</v>
      </c>
    </row>
    <row r="44" spans="1:16" s="47" customFormat="1" ht="25.05" customHeight="1">
      <c r="A44" s="56">
        <v>37</v>
      </c>
      <c r="B44" s="60" t="s">
        <v>153</v>
      </c>
      <c r="C44" s="62">
        <f t="shared" si="1"/>
        <v>2457</v>
      </c>
      <c r="D44" s="62">
        <f t="shared" si="2"/>
        <v>2457</v>
      </c>
      <c r="E44" s="62"/>
      <c r="F44" s="62"/>
      <c r="G44" s="62"/>
      <c r="H44" s="62">
        <v>1135</v>
      </c>
      <c r="I44" s="62">
        <v>36</v>
      </c>
      <c r="J44" s="62"/>
      <c r="K44" s="62">
        <v>222</v>
      </c>
      <c r="L44" s="62"/>
      <c r="M44" s="62"/>
      <c r="N44" s="62"/>
      <c r="O44" s="62"/>
      <c r="P44" s="62">
        <v>1064</v>
      </c>
    </row>
    <row r="45" spans="1:16" s="47" customFormat="1" ht="25.05" customHeight="1">
      <c r="A45" s="56">
        <v>38</v>
      </c>
      <c r="B45" s="60" t="s">
        <v>154</v>
      </c>
      <c r="C45" s="62">
        <f t="shared" si="1"/>
        <v>1347</v>
      </c>
      <c r="D45" s="62">
        <f t="shared" si="2"/>
        <v>1347</v>
      </c>
      <c r="E45" s="62"/>
      <c r="F45" s="62"/>
      <c r="G45" s="62"/>
      <c r="H45" s="62">
        <v>610</v>
      </c>
      <c r="I45" s="62">
        <v>7</v>
      </c>
      <c r="J45" s="62"/>
      <c r="K45" s="62">
        <v>158</v>
      </c>
      <c r="L45" s="62"/>
      <c r="M45" s="62"/>
      <c r="N45" s="62"/>
      <c r="O45" s="62"/>
      <c r="P45" s="62">
        <v>572</v>
      </c>
    </row>
    <row r="46" spans="1:16" s="47" customFormat="1" ht="25.05" customHeight="1">
      <c r="A46" s="56">
        <v>39</v>
      </c>
      <c r="B46" s="60" t="s">
        <v>155</v>
      </c>
      <c r="C46" s="62">
        <f t="shared" si="1"/>
        <v>1098</v>
      </c>
      <c r="D46" s="62">
        <f t="shared" si="2"/>
        <v>1098</v>
      </c>
      <c r="E46" s="62"/>
      <c r="F46" s="62"/>
      <c r="G46" s="62"/>
      <c r="H46" s="62">
        <v>630</v>
      </c>
      <c r="I46" s="62">
        <v>2</v>
      </c>
      <c r="J46" s="62"/>
      <c r="K46" s="62">
        <v>132</v>
      </c>
      <c r="L46" s="62"/>
      <c r="M46" s="62"/>
      <c r="N46" s="62"/>
      <c r="O46" s="62"/>
      <c r="P46" s="62">
        <v>334</v>
      </c>
    </row>
    <row r="47" spans="1:16" s="47" customFormat="1" ht="25.05" customHeight="1">
      <c r="A47" s="56">
        <v>40</v>
      </c>
      <c r="B47" s="60" t="s">
        <v>157</v>
      </c>
      <c r="C47" s="62">
        <f t="shared" si="1"/>
        <v>2427</v>
      </c>
      <c r="D47" s="62">
        <f t="shared" si="2"/>
        <v>2427</v>
      </c>
      <c r="E47" s="62"/>
      <c r="F47" s="62"/>
      <c r="G47" s="62"/>
      <c r="H47" s="62">
        <v>850</v>
      </c>
      <c r="I47" s="62">
        <v>85</v>
      </c>
      <c r="J47" s="62"/>
      <c r="K47" s="62">
        <v>187</v>
      </c>
      <c r="L47" s="62"/>
      <c r="M47" s="62"/>
      <c r="N47" s="62"/>
      <c r="O47" s="62"/>
      <c r="P47" s="62">
        <v>1305</v>
      </c>
    </row>
    <row r="48" spans="1:16" s="47" customFormat="1" ht="25.05" customHeight="1">
      <c r="A48" s="56">
        <v>41</v>
      </c>
      <c r="B48" s="60" t="s">
        <v>160</v>
      </c>
      <c r="C48" s="62">
        <f t="shared" si="1"/>
        <v>866</v>
      </c>
      <c r="D48" s="62">
        <f t="shared" si="2"/>
        <v>866</v>
      </c>
      <c r="E48" s="62"/>
      <c r="F48" s="62"/>
      <c r="G48" s="62"/>
      <c r="H48" s="62">
        <v>640</v>
      </c>
      <c r="I48" s="62">
        <v>11</v>
      </c>
      <c r="J48" s="62"/>
      <c r="K48" s="62">
        <v>50</v>
      </c>
      <c r="L48" s="62"/>
      <c r="M48" s="62"/>
      <c r="N48" s="62"/>
      <c r="O48" s="62"/>
      <c r="P48" s="62">
        <v>165</v>
      </c>
    </row>
    <row r="49" spans="1:16" s="47" customFormat="1" ht="25.05" customHeight="1">
      <c r="A49" s="56">
        <v>42</v>
      </c>
      <c r="B49" s="60" t="s">
        <v>156</v>
      </c>
      <c r="C49" s="62">
        <f t="shared" si="1"/>
        <v>892</v>
      </c>
      <c r="D49" s="62">
        <f t="shared" si="2"/>
        <v>892</v>
      </c>
      <c r="E49" s="62"/>
      <c r="F49" s="62"/>
      <c r="G49" s="62"/>
      <c r="H49" s="62">
        <v>320</v>
      </c>
      <c r="I49" s="62">
        <v>42</v>
      </c>
      <c r="J49" s="62"/>
      <c r="K49" s="62">
        <v>115</v>
      </c>
      <c r="L49" s="62"/>
      <c r="M49" s="62"/>
      <c r="N49" s="62"/>
      <c r="O49" s="62"/>
      <c r="P49" s="62">
        <v>415</v>
      </c>
    </row>
    <row r="50" spans="1:16" s="47" customFormat="1" ht="25.05" customHeight="1">
      <c r="A50" s="56">
        <v>43</v>
      </c>
      <c r="B50" s="60" t="s">
        <v>158</v>
      </c>
      <c r="C50" s="62">
        <f t="shared" si="1"/>
        <v>962</v>
      </c>
      <c r="D50" s="62">
        <f t="shared" si="2"/>
        <v>962</v>
      </c>
      <c r="E50" s="62"/>
      <c r="F50" s="62"/>
      <c r="G50" s="62"/>
      <c r="H50" s="62">
        <v>250</v>
      </c>
      <c r="I50" s="62">
        <v>12</v>
      </c>
      <c r="J50" s="62"/>
      <c r="K50" s="62">
        <v>105</v>
      </c>
      <c r="L50" s="62"/>
      <c r="M50" s="62"/>
      <c r="N50" s="62"/>
      <c r="O50" s="62"/>
      <c r="P50" s="62">
        <v>595</v>
      </c>
    </row>
    <row r="51" spans="1:16" s="47" customFormat="1" ht="25.05" customHeight="1">
      <c r="A51" s="56">
        <v>44</v>
      </c>
      <c r="B51" s="60" t="s">
        <v>159</v>
      </c>
      <c r="C51" s="62">
        <f t="shared" si="1"/>
        <v>805</v>
      </c>
      <c r="D51" s="62">
        <f t="shared" si="2"/>
        <v>805</v>
      </c>
      <c r="E51" s="62"/>
      <c r="F51" s="62"/>
      <c r="G51" s="62"/>
      <c r="H51" s="62">
        <v>550</v>
      </c>
      <c r="I51" s="62">
        <v>50</v>
      </c>
      <c r="J51" s="62"/>
      <c r="K51" s="62">
        <v>75</v>
      </c>
      <c r="L51" s="62"/>
      <c r="M51" s="62"/>
      <c r="N51" s="62"/>
      <c r="O51" s="62"/>
      <c r="P51" s="62">
        <v>130</v>
      </c>
    </row>
    <row r="52" spans="1:16" s="47" customFormat="1" ht="25.05" customHeight="1">
      <c r="A52" s="56">
        <v>45</v>
      </c>
      <c r="B52" s="60" t="s">
        <v>161</v>
      </c>
      <c r="C52" s="62">
        <f t="shared" si="1"/>
        <v>1425</v>
      </c>
      <c r="D52" s="62">
        <f t="shared" si="2"/>
        <v>1425</v>
      </c>
      <c r="E52" s="62"/>
      <c r="F52" s="62"/>
      <c r="G52" s="62"/>
      <c r="H52" s="62">
        <v>1050</v>
      </c>
      <c r="I52" s="62">
        <v>0</v>
      </c>
      <c r="J52" s="62"/>
      <c r="K52" s="62">
        <v>75</v>
      </c>
      <c r="L52" s="62"/>
      <c r="M52" s="62"/>
      <c r="N52" s="62"/>
      <c r="O52" s="62"/>
      <c r="P52" s="62">
        <v>300</v>
      </c>
    </row>
    <row r="53" spans="1:16" s="47" customFormat="1" ht="25.05" customHeight="1">
      <c r="A53" s="56">
        <v>46</v>
      </c>
      <c r="B53" s="60" t="s">
        <v>162</v>
      </c>
      <c r="C53" s="62">
        <f t="shared" si="1"/>
        <v>1133</v>
      </c>
      <c r="D53" s="62">
        <f t="shared" si="2"/>
        <v>1133</v>
      </c>
      <c r="E53" s="62"/>
      <c r="F53" s="62"/>
      <c r="G53" s="62"/>
      <c r="H53" s="62">
        <v>730</v>
      </c>
      <c r="I53" s="62">
        <v>0</v>
      </c>
      <c r="J53" s="62"/>
      <c r="K53" s="62">
        <v>75</v>
      </c>
      <c r="L53" s="62"/>
      <c r="M53" s="62"/>
      <c r="N53" s="62"/>
      <c r="O53" s="62"/>
      <c r="P53" s="62">
        <v>328</v>
      </c>
    </row>
    <row r="54" spans="1:16" s="47" customFormat="1" ht="25.05" customHeight="1">
      <c r="A54" s="56">
        <v>47</v>
      </c>
      <c r="B54" s="60" t="s">
        <v>163</v>
      </c>
      <c r="C54" s="62">
        <f t="shared" si="1"/>
        <v>1444</v>
      </c>
      <c r="D54" s="62">
        <f t="shared" si="2"/>
        <v>1444</v>
      </c>
      <c r="E54" s="62"/>
      <c r="F54" s="62"/>
      <c r="G54" s="62"/>
      <c r="H54" s="62">
        <v>450</v>
      </c>
      <c r="I54" s="62">
        <v>0</v>
      </c>
      <c r="J54" s="62"/>
      <c r="K54" s="62">
        <v>76</v>
      </c>
      <c r="L54" s="62"/>
      <c r="M54" s="62"/>
      <c r="N54" s="62"/>
      <c r="O54" s="62"/>
      <c r="P54" s="62">
        <v>918</v>
      </c>
    </row>
    <row r="55" spans="1:16" s="47" customFormat="1" ht="25.05" customHeight="1">
      <c r="A55" s="56">
        <v>48</v>
      </c>
      <c r="B55" s="60" t="s">
        <v>164</v>
      </c>
      <c r="C55" s="62">
        <f t="shared" si="1"/>
        <v>1105</v>
      </c>
      <c r="D55" s="62">
        <f t="shared" si="2"/>
        <v>1105</v>
      </c>
      <c r="E55" s="62"/>
      <c r="F55" s="62"/>
      <c r="G55" s="62"/>
      <c r="H55" s="62">
        <v>480</v>
      </c>
      <c r="I55" s="62">
        <v>0</v>
      </c>
      <c r="J55" s="62"/>
      <c r="K55" s="62">
        <v>120</v>
      </c>
      <c r="L55" s="62"/>
      <c r="M55" s="62"/>
      <c r="N55" s="62"/>
      <c r="O55" s="62"/>
      <c r="P55" s="62">
        <v>505</v>
      </c>
    </row>
    <row r="56" spans="1:16" s="47" customFormat="1" ht="25.05" customHeight="1">
      <c r="A56" s="56">
        <v>49</v>
      </c>
      <c r="B56" s="60" t="s">
        <v>176</v>
      </c>
      <c r="C56" s="62">
        <f t="shared" si="1"/>
        <v>970</v>
      </c>
      <c r="D56" s="62">
        <f t="shared" si="2"/>
        <v>970</v>
      </c>
      <c r="E56" s="62"/>
      <c r="F56" s="62"/>
      <c r="G56" s="62"/>
      <c r="H56" s="62">
        <v>450</v>
      </c>
      <c r="I56" s="62">
        <v>0</v>
      </c>
      <c r="J56" s="62"/>
      <c r="K56" s="62">
        <v>70</v>
      </c>
      <c r="L56" s="62"/>
      <c r="M56" s="62"/>
      <c r="N56" s="62"/>
      <c r="O56" s="62"/>
      <c r="P56" s="62">
        <v>450</v>
      </c>
    </row>
    <row r="57" spans="1:16" s="47" customFormat="1" ht="25.05" customHeight="1">
      <c r="A57" s="56">
        <v>50</v>
      </c>
      <c r="B57" s="60" t="s">
        <v>166</v>
      </c>
      <c r="C57" s="62">
        <f t="shared" si="1"/>
        <v>2065</v>
      </c>
      <c r="D57" s="62">
        <f t="shared" si="2"/>
        <v>2065</v>
      </c>
      <c r="E57" s="62"/>
      <c r="F57" s="62"/>
      <c r="G57" s="62"/>
      <c r="H57" s="62">
        <v>344</v>
      </c>
      <c r="I57" s="62">
        <v>4</v>
      </c>
      <c r="J57" s="62"/>
      <c r="K57" s="62">
        <v>104</v>
      </c>
      <c r="L57" s="62"/>
      <c r="M57" s="62"/>
      <c r="N57" s="62"/>
      <c r="O57" s="62"/>
      <c r="P57" s="62">
        <v>1613</v>
      </c>
    </row>
    <row r="58" spans="1:16" s="47" customFormat="1" ht="25.05" customHeight="1">
      <c r="A58" s="56">
        <v>51</v>
      </c>
      <c r="B58" s="60" t="s">
        <v>167</v>
      </c>
      <c r="C58" s="62">
        <f t="shared" si="1"/>
        <v>1205</v>
      </c>
      <c r="D58" s="62">
        <f t="shared" si="2"/>
        <v>1205</v>
      </c>
      <c r="E58" s="62"/>
      <c r="F58" s="62"/>
      <c r="G58" s="62"/>
      <c r="H58" s="62">
        <v>234</v>
      </c>
      <c r="I58" s="62">
        <v>3</v>
      </c>
      <c r="J58" s="62"/>
      <c r="K58" s="62">
        <v>105</v>
      </c>
      <c r="L58" s="62"/>
      <c r="M58" s="62"/>
      <c r="N58" s="62"/>
      <c r="O58" s="62"/>
      <c r="P58" s="62">
        <v>863</v>
      </c>
    </row>
    <row r="59" spans="1:16" s="47" customFormat="1" ht="25.05" customHeight="1">
      <c r="A59" s="56">
        <v>52</v>
      </c>
      <c r="B59" s="60" t="s">
        <v>168</v>
      </c>
      <c r="C59" s="62">
        <f t="shared" si="1"/>
        <v>797</v>
      </c>
      <c r="D59" s="62">
        <f t="shared" si="2"/>
        <v>797</v>
      </c>
      <c r="E59" s="62"/>
      <c r="F59" s="62"/>
      <c r="G59" s="62"/>
      <c r="H59" s="62">
        <v>381</v>
      </c>
      <c r="I59" s="62">
        <v>5</v>
      </c>
      <c r="J59" s="62"/>
      <c r="K59" s="62">
        <v>109</v>
      </c>
      <c r="L59" s="62"/>
      <c r="M59" s="62"/>
      <c r="N59" s="62"/>
      <c r="O59" s="62"/>
      <c r="P59" s="62">
        <v>302</v>
      </c>
    </row>
    <row r="60" spans="1:16" s="47" customFormat="1" ht="25.05" customHeight="1">
      <c r="A60" s="56">
        <v>53</v>
      </c>
      <c r="B60" s="60" t="s">
        <v>169</v>
      </c>
      <c r="C60" s="62">
        <f t="shared" si="1"/>
        <v>3767</v>
      </c>
      <c r="D60" s="62">
        <f t="shared" si="2"/>
        <v>3767</v>
      </c>
      <c r="E60" s="62"/>
      <c r="F60" s="62"/>
      <c r="G60" s="62"/>
      <c r="H60" s="62">
        <v>430</v>
      </c>
      <c r="I60" s="62">
        <v>2</v>
      </c>
      <c r="J60" s="62"/>
      <c r="K60" s="62">
        <v>70</v>
      </c>
      <c r="L60" s="62"/>
      <c r="M60" s="62"/>
      <c r="N60" s="62"/>
      <c r="O60" s="62"/>
      <c r="P60" s="62">
        <v>3265</v>
      </c>
    </row>
    <row r="61" spans="1:16" s="47" customFormat="1" ht="25.05" customHeight="1">
      <c r="A61" s="56">
        <v>54</v>
      </c>
      <c r="B61" s="60" t="s">
        <v>165</v>
      </c>
      <c r="C61" s="62">
        <f t="shared" si="1"/>
        <v>4156</v>
      </c>
      <c r="D61" s="62">
        <f t="shared" si="2"/>
        <v>4156</v>
      </c>
      <c r="E61" s="62"/>
      <c r="F61" s="62"/>
      <c r="G61" s="62"/>
      <c r="H61" s="62">
        <v>311</v>
      </c>
      <c r="I61" s="62">
        <v>26</v>
      </c>
      <c r="J61" s="62"/>
      <c r="K61" s="62">
        <v>112</v>
      </c>
      <c r="L61" s="62"/>
      <c r="M61" s="62"/>
      <c r="N61" s="62"/>
      <c r="O61" s="62"/>
      <c r="P61" s="62">
        <v>3707</v>
      </c>
    </row>
    <row r="62" spans="1:16" ht="69" customHeight="1">
      <c r="A62" s="42"/>
      <c r="B62" s="169" t="s">
        <v>98</v>
      </c>
      <c r="C62" s="169"/>
      <c r="D62" s="169"/>
      <c r="E62" s="169"/>
      <c r="F62" s="169"/>
      <c r="G62" s="169"/>
      <c r="H62" s="169"/>
      <c r="I62" s="169"/>
      <c r="J62" s="169"/>
      <c r="K62" s="169"/>
      <c r="L62" s="169"/>
      <c r="M62" s="169"/>
      <c r="N62" s="169"/>
      <c r="O62" s="169"/>
      <c r="P62" s="169"/>
    </row>
    <row r="63" spans="1:16" ht="15.6">
      <c r="A63" s="48"/>
    </row>
    <row r="64" spans="1:16" ht="15.6">
      <c r="A64" s="48"/>
    </row>
    <row r="74" spans="2:2" ht="15.6">
      <c r="B74" s="49"/>
    </row>
    <row r="75" spans="2:2" ht="15.6">
      <c r="B75" s="49"/>
    </row>
    <row r="76" spans="2:2" ht="15.6">
      <c r="B76" s="49"/>
    </row>
    <row r="77" spans="2:2" ht="15.6">
      <c r="B77" s="49"/>
    </row>
    <row r="78" spans="2:2" ht="15.6">
      <c r="B78" s="49"/>
    </row>
    <row r="79" spans="2:2" ht="15.6">
      <c r="B79" s="49"/>
    </row>
    <row r="80" spans="2:2" ht="15.6">
      <c r="B80" s="49"/>
    </row>
    <row r="81" spans="2:2" ht="15.6">
      <c r="B81" s="49"/>
    </row>
    <row r="82" spans="2:2" ht="15.6">
      <c r="B82" s="49"/>
    </row>
    <row r="83" spans="2:2" ht="15.6">
      <c r="B83" s="49"/>
    </row>
    <row r="84" spans="2:2" ht="15.6">
      <c r="B84" s="49"/>
    </row>
  </sheetData>
  <mergeCells count="10">
    <mergeCell ref="A1:P1"/>
    <mergeCell ref="B62:P62"/>
    <mergeCell ref="A2:P2"/>
    <mergeCell ref="A7:B7"/>
    <mergeCell ref="E5:P5"/>
    <mergeCell ref="D5:D6"/>
    <mergeCell ref="B5:B6"/>
    <mergeCell ref="A5:A6"/>
    <mergeCell ref="C5:C6"/>
    <mergeCell ref="A3:P3"/>
  </mergeCells>
  <printOptions horizontalCentered="1"/>
  <pageMargins left="3.937007874015748E-2" right="0" top="0.82677165354330717" bottom="0.27559055118110237" header="0.31496062992125984" footer="0.31496062992125984"/>
  <pageSetup paperSize="9" scale="75"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1"/>
  <sheetViews>
    <sheetView zoomScale="70" zoomScaleNormal="70" workbookViewId="0">
      <pane xSplit="2" ySplit="8" topLeftCell="C9" activePane="bottomRight" state="frozen"/>
      <selection activeCell="E9" sqref="E9"/>
      <selection pane="topRight" activeCell="E9" sqref="E9"/>
      <selection pane="bottomLeft" activeCell="E9" sqref="E9"/>
      <selection pane="bottomRight" activeCell="K15" sqref="K15"/>
    </sheetView>
  </sheetViews>
  <sheetFormatPr defaultColWidth="8.77734375" defaultRowHeight="14.4"/>
  <cols>
    <col min="1" max="1" width="6.21875" style="22" customWidth="1"/>
    <col min="2" max="2" width="55.5546875" style="22" customWidth="1"/>
    <col min="3" max="3" width="14" style="22" customWidth="1"/>
    <col min="4" max="4" width="12.77734375" style="22" customWidth="1"/>
    <col min="5" max="5" width="13.21875" style="22" customWidth="1"/>
    <col min="6" max="6" width="19.77734375" style="22" customWidth="1"/>
    <col min="7" max="16384" width="8.77734375" style="22"/>
  </cols>
  <sheetData>
    <row r="1" spans="1:5" ht="13.95" customHeight="1">
      <c r="A1" s="173" t="s">
        <v>121</v>
      </c>
      <c r="B1" s="173"/>
      <c r="C1" s="173"/>
      <c r="D1" s="173"/>
      <c r="E1" s="173"/>
    </row>
    <row r="2" spans="1:5" ht="43.5" customHeight="1">
      <c r="A2" s="167" t="s">
        <v>337</v>
      </c>
      <c r="B2" s="167"/>
      <c r="C2" s="167"/>
      <c r="D2" s="167"/>
      <c r="E2" s="167"/>
    </row>
    <row r="3" spans="1:5" ht="21.75" customHeight="1">
      <c r="A3" s="168" t="s">
        <v>177</v>
      </c>
      <c r="B3" s="168"/>
      <c r="C3" s="168"/>
      <c r="D3" s="168"/>
      <c r="E3" s="168"/>
    </row>
    <row r="4" spans="1:5" ht="15.6">
      <c r="E4" s="35" t="s">
        <v>5</v>
      </c>
    </row>
    <row r="5" spans="1:5" ht="15.6">
      <c r="A5" s="179" t="s">
        <v>0</v>
      </c>
      <c r="B5" s="179" t="s">
        <v>1</v>
      </c>
      <c r="C5" s="179" t="s">
        <v>44</v>
      </c>
      <c r="D5" s="179" t="s">
        <v>42</v>
      </c>
      <c r="E5" s="179"/>
    </row>
    <row r="6" spans="1:5" ht="67.5" customHeight="1">
      <c r="A6" s="179"/>
      <c r="B6" s="179"/>
      <c r="C6" s="179"/>
      <c r="D6" s="76" t="s">
        <v>68</v>
      </c>
      <c r="E6" s="76" t="s">
        <v>170</v>
      </c>
    </row>
    <row r="7" spans="1:5" ht="15.6">
      <c r="A7" s="76" t="s">
        <v>2</v>
      </c>
      <c r="B7" s="76" t="s">
        <v>3</v>
      </c>
      <c r="C7" s="76" t="s">
        <v>45</v>
      </c>
      <c r="D7" s="76">
        <v>2</v>
      </c>
      <c r="E7" s="76">
        <v>3</v>
      </c>
    </row>
    <row r="8" spans="1:5" ht="19.5" customHeight="1">
      <c r="A8" s="24"/>
      <c r="B8" s="31" t="s">
        <v>81</v>
      </c>
      <c r="C8" s="20">
        <f>+D8+E8</f>
        <v>23427481.420000002</v>
      </c>
      <c r="D8" s="20">
        <f>+D9+D25</f>
        <v>15812840.097200001</v>
      </c>
      <c r="E8" s="20">
        <f>+E9+E25</f>
        <v>7614641.3228000011</v>
      </c>
    </row>
    <row r="9" spans="1:5" ht="18" customHeight="1">
      <c r="A9" s="28" t="s">
        <v>2</v>
      </c>
      <c r="B9" s="29" t="s">
        <v>35</v>
      </c>
      <c r="C9" s="16">
        <f>+D9+E9</f>
        <v>18313317.300000001</v>
      </c>
      <c r="D9" s="16">
        <f>+D10+D18+D23+D24+D22</f>
        <v>10743229.097200001</v>
      </c>
      <c r="E9" s="16">
        <f>+E10+E18+E23+E24+E22</f>
        <v>7570088.202800001</v>
      </c>
    </row>
    <row r="10" spans="1:5" ht="18" customHeight="1">
      <c r="A10" s="28" t="s">
        <v>9</v>
      </c>
      <c r="B10" s="29" t="s">
        <v>71</v>
      </c>
      <c r="C10" s="16">
        <f>+D10+E10</f>
        <v>4163320</v>
      </c>
      <c r="D10" s="16">
        <v>4163320</v>
      </c>
      <c r="E10" s="16">
        <f>+E11+E16+E17</f>
        <v>0</v>
      </c>
    </row>
    <row r="11" spans="1:5" ht="18" customHeight="1">
      <c r="A11" s="26">
        <v>1</v>
      </c>
      <c r="B11" s="18" t="s">
        <v>36</v>
      </c>
      <c r="C11" s="17">
        <f>+D11+E11</f>
        <v>4034220</v>
      </c>
      <c r="D11" s="17">
        <v>4034220</v>
      </c>
      <c r="E11" s="17"/>
    </row>
    <row r="12" spans="1:5" ht="18" customHeight="1">
      <c r="A12" s="26"/>
      <c r="B12" s="36" t="s">
        <v>73</v>
      </c>
      <c r="C12" s="21"/>
      <c r="D12" s="21"/>
      <c r="E12" s="21"/>
    </row>
    <row r="13" spans="1:5" ht="18" customHeight="1">
      <c r="A13" s="26" t="s">
        <v>4</v>
      </c>
      <c r="B13" s="36" t="s">
        <v>38</v>
      </c>
      <c r="C13" s="21">
        <f t="shared" ref="C13:C28" si="0">+D13+E13</f>
        <v>518000</v>
      </c>
      <c r="D13" s="21">
        <v>518000</v>
      </c>
      <c r="E13" s="21"/>
    </row>
    <row r="14" spans="1:5" ht="18" customHeight="1">
      <c r="A14" s="26" t="s">
        <v>4</v>
      </c>
      <c r="B14" s="36" t="s">
        <v>46</v>
      </c>
      <c r="C14" s="21">
        <f t="shared" si="0"/>
        <v>2100000</v>
      </c>
      <c r="D14" s="21">
        <v>2100000</v>
      </c>
      <c r="E14" s="21"/>
    </row>
    <row r="15" spans="1:5" ht="41.25" customHeight="1">
      <c r="A15" s="26"/>
      <c r="B15" s="36" t="s">
        <v>108</v>
      </c>
      <c r="C15" s="21">
        <f>+D15+E15</f>
        <v>121000</v>
      </c>
      <c r="D15" s="21">
        <v>121000</v>
      </c>
      <c r="E15" s="21"/>
    </row>
    <row r="16" spans="1:5" ht="69" customHeight="1">
      <c r="A16" s="26">
        <v>2</v>
      </c>
      <c r="B16" s="37" t="s">
        <v>39</v>
      </c>
      <c r="C16" s="17">
        <f t="shared" si="0"/>
        <v>0</v>
      </c>
      <c r="D16" s="17"/>
      <c r="E16" s="17"/>
    </row>
    <row r="17" spans="1:6" ht="15.6">
      <c r="A17" s="26">
        <v>3</v>
      </c>
      <c r="B17" s="18" t="s">
        <v>95</v>
      </c>
      <c r="C17" s="17">
        <f t="shared" si="0"/>
        <v>129100</v>
      </c>
      <c r="D17" s="17">
        <v>129100</v>
      </c>
      <c r="E17" s="17">
        <v>0</v>
      </c>
    </row>
    <row r="18" spans="1:6" ht="18" customHeight="1">
      <c r="A18" s="28" t="s">
        <v>6</v>
      </c>
      <c r="B18" s="29" t="s">
        <v>11</v>
      </c>
      <c r="C18" s="16">
        <f t="shared" si="0"/>
        <v>13732327.300000001</v>
      </c>
      <c r="D18" s="16">
        <v>6310677.0171999997</v>
      </c>
      <c r="E18" s="16">
        <v>7421650.2828000011</v>
      </c>
      <c r="F18" s="30"/>
    </row>
    <row r="19" spans="1:6" ht="18" customHeight="1">
      <c r="A19" s="26"/>
      <c r="B19" s="36" t="s">
        <v>15</v>
      </c>
      <c r="C19" s="21">
        <f t="shared" si="0"/>
        <v>0</v>
      </c>
      <c r="D19" s="21"/>
      <c r="E19" s="21"/>
    </row>
    <row r="20" spans="1:6" ht="18" customHeight="1">
      <c r="A20" s="26">
        <v>1</v>
      </c>
      <c r="B20" s="36" t="s">
        <v>37</v>
      </c>
      <c r="C20" s="21">
        <f>+D20+E20</f>
        <v>6352609.8779999996</v>
      </c>
      <c r="D20" s="21">
        <v>1203231.7159999991</v>
      </c>
      <c r="E20" s="21">
        <v>5149378.1620000005</v>
      </c>
    </row>
    <row r="21" spans="1:6" ht="18" customHeight="1">
      <c r="A21" s="26">
        <v>2</v>
      </c>
      <c r="B21" s="36" t="s">
        <v>60</v>
      </c>
      <c r="C21" s="21">
        <f t="shared" si="0"/>
        <v>43030</v>
      </c>
      <c r="D21" s="21">
        <v>43030</v>
      </c>
      <c r="E21" s="21">
        <v>0</v>
      </c>
    </row>
    <row r="22" spans="1:6" s="25" customFormat="1" ht="18" customHeight="1">
      <c r="A22" s="28" t="s">
        <v>7</v>
      </c>
      <c r="B22" s="29" t="s">
        <v>100</v>
      </c>
      <c r="C22" s="16">
        <f t="shared" si="0"/>
        <v>8500</v>
      </c>
      <c r="D22" s="16">
        <v>8500</v>
      </c>
      <c r="E22" s="16"/>
    </row>
    <row r="23" spans="1:6" ht="18" customHeight="1">
      <c r="A23" s="28" t="s">
        <v>8</v>
      </c>
      <c r="B23" s="29" t="s">
        <v>69</v>
      </c>
      <c r="C23" s="16">
        <f t="shared" si="0"/>
        <v>1170</v>
      </c>
      <c r="D23" s="16">
        <v>1170</v>
      </c>
      <c r="E23" s="16"/>
    </row>
    <row r="24" spans="1:6" ht="18" customHeight="1">
      <c r="A24" s="28" t="s">
        <v>12</v>
      </c>
      <c r="B24" s="29" t="s">
        <v>19</v>
      </c>
      <c r="C24" s="16">
        <f t="shared" si="0"/>
        <v>408000</v>
      </c>
      <c r="D24" s="16">
        <v>259562.08000000002</v>
      </c>
      <c r="E24" s="16">
        <v>148437.91999999998</v>
      </c>
    </row>
    <row r="25" spans="1:6" ht="18">
      <c r="A25" s="28" t="s">
        <v>3</v>
      </c>
      <c r="B25" s="29" t="s">
        <v>96</v>
      </c>
      <c r="C25" s="16">
        <f t="shared" si="0"/>
        <v>5114164.12</v>
      </c>
      <c r="D25" s="16">
        <f>+D26+D27+D28</f>
        <v>5069611</v>
      </c>
      <c r="E25" s="16">
        <f>+E26+E27+E28</f>
        <v>44553.119999999995</v>
      </c>
      <c r="F25" s="69"/>
    </row>
    <row r="26" spans="1:6" ht="18" customHeight="1">
      <c r="A26" s="26">
        <v>1</v>
      </c>
      <c r="B26" s="15" t="s">
        <v>109</v>
      </c>
      <c r="C26" s="17">
        <f>+D26+E26</f>
        <v>1711</v>
      </c>
      <c r="D26" s="38">
        <v>1711</v>
      </c>
      <c r="E26" s="16">
        <v>0</v>
      </c>
    </row>
    <row r="27" spans="1:6" ht="18" customHeight="1">
      <c r="A27" s="26">
        <v>2</v>
      </c>
      <c r="B27" s="18" t="s">
        <v>88</v>
      </c>
      <c r="C27" s="17">
        <f t="shared" ref="C27" si="1">+D27+E27</f>
        <v>4760346.12</v>
      </c>
      <c r="D27" s="38">
        <f>5069611-D26-D28</f>
        <v>4715793</v>
      </c>
      <c r="E27" s="38">
        <v>44553.119999999995</v>
      </c>
    </row>
    <row r="28" spans="1:6" s="41" customFormat="1" ht="15.6">
      <c r="A28" s="27">
        <v>3</v>
      </c>
      <c r="B28" s="19" t="s">
        <v>97</v>
      </c>
      <c r="C28" s="39">
        <f t="shared" si="0"/>
        <v>352107</v>
      </c>
      <c r="D28" s="40">
        <v>352107</v>
      </c>
      <c r="E28" s="39">
        <v>0</v>
      </c>
    </row>
    <row r="29" spans="1:6" ht="70.5" customHeight="1">
      <c r="A29" s="42"/>
      <c r="B29" s="180" t="s">
        <v>98</v>
      </c>
      <c r="C29" s="180"/>
      <c r="D29" s="180"/>
      <c r="E29" s="180"/>
    </row>
    <row r="30" spans="1:6" ht="72.75" customHeight="1">
      <c r="A30" s="178"/>
      <c r="B30" s="178"/>
      <c r="C30" s="178"/>
      <c r="D30" s="178"/>
      <c r="E30" s="178"/>
    </row>
    <row r="31" spans="1:6" ht="45" customHeight="1">
      <c r="A31" s="178"/>
      <c r="B31" s="178"/>
      <c r="C31" s="178"/>
      <c r="D31" s="178"/>
      <c r="E31" s="178"/>
    </row>
  </sheetData>
  <mergeCells count="10">
    <mergeCell ref="A2:E2"/>
    <mergeCell ref="A3:E3"/>
    <mergeCell ref="A30:E30"/>
    <mergeCell ref="B29:E29"/>
    <mergeCell ref="A1:E1"/>
    <mergeCell ref="A31:E31"/>
    <mergeCell ref="A5:A6"/>
    <mergeCell ref="B5:B6"/>
    <mergeCell ref="C5:C6"/>
    <mergeCell ref="D5:E5"/>
  </mergeCells>
  <pageMargins left="0.84" right="0.2" top="0.56999999999999995" bottom="0.17" header="0.41" footer="0.17"/>
  <pageSetup paperSize="9" scale="9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2"/>
  <sheetViews>
    <sheetView zoomScale="90" zoomScaleNormal="90" workbookViewId="0">
      <pane xSplit="2" ySplit="6" topLeftCell="C7" activePane="bottomRight" state="frozen"/>
      <selection activeCell="E9" sqref="E9"/>
      <selection pane="topRight" activeCell="E9" sqref="E9"/>
      <selection pane="bottomLeft" activeCell="E9" sqref="E9"/>
      <selection pane="bottomRight" activeCell="G14" sqref="G14"/>
    </sheetView>
  </sheetViews>
  <sheetFormatPr defaultColWidth="9.21875" defaultRowHeight="14.4"/>
  <cols>
    <col min="1" max="1" width="5.44140625" customWidth="1"/>
    <col min="2" max="2" width="70.44140625" customWidth="1"/>
    <col min="3" max="3" width="25.77734375" customWidth="1"/>
    <col min="4" max="7" width="9.21875" customWidth="1"/>
  </cols>
  <sheetData>
    <row r="1" spans="1:3" ht="16.8">
      <c r="A1" s="172" t="s">
        <v>122</v>
      </c>
      <c r="B1" s="172"/>
      <c r="C1" s="172"/>
    </row>
    <row r="2" spans="1:3" ht="26.25" customHeight="1">
      <c r="A2" s="166" t="s">
        <v>113</v>
      </c>
      <c r="B2" s="166"/>
      <c r="C2" s="166"/>
    </row>
    <row r="3" spans="1:3" ht="15.6">
      <c r="A3" s="171" t="s">
        <v>177</v>
      </c>
      <c r="B3" s="171"/>
      <c r="C3" s="171"/>
    </row>
    <row r="4" spans="1:3" ht="15.6">
      <c r="C4" s="14" t="s">
        <v>5</v>
      </c>
    </row>
    <row r="5" spans="1:3" ht="35.25" customHeight="1">
      <c r="A5" s="12" t="s">
        <v>0</v>
      </c>
      <c r="B5" s="12" t="s">
        <v>1</v>
      </c>
      <c r="C5" s="12" t="s">
        <v>61</v>
      </c>
    </row>
    <row r="6" spans="1:3" ht="22.5" customHeight="1">
      <c r="A6" s="6"/>
      <c r="B6" s="7" t="s">
        <v>117</v>
      </c>
      <c r="C6" s="53">
        <f>+C7+C8</f>
        <v>16492504.08</v>
      </c>
    </row>
    <row r="7" spans="1:3" ht="20.100000000000001" customHeight="1">
      <c r="A7" s="8" t="s">
        <v>2</v>
      </c>
      <c r="B7" s="2" t="s">
        <v>90</v>
      </c>
      <c r="C7" s="5">
        <v>5749275</v>
      </c>
    </row>
    <row r="8" spans="1:3" ht="20.100000000000001" customHeight="1">
      <c r="A8" s="8" t="s">
        <v>3</v>
      </c>
      <c r="B8" s="2" t="s">
        <v>116</v>
      </c>
      <c r="C8" s="5">
        <f>+C9+C12+C27+C28+C26</f>
        <v>10743229.08</v>
      </c>
    </row>
    <row r="9" spans="1:3" ht="20.100000000000001" customHeight="1">
      <c r="A9" s="8" t="s">
        <v>9</v>
      </c>
      <c r="B9" s="2" t="s">
        <v>71</v>
      </c>
      <c r="C9" s="5">
        <f>+C10+C11</f>
        <v>4163320</v>
      </c>
    </row>
    <row r="10" spans="1:3" ht="20.25" customHeight="1">
      <c r="A10" s="9">
        <v>1</v>
      </c>
      <c r="B10" s="3" t="s">
        <v>80</v>
      </c>
      <c r="C10" s="4">
        <f>4163320-C11</f>
        <v>4034220</v>
      </c>
    </row>
    <row r="11" spans="1:3" ht="18" customHeight="1">
      <c r="A11" s="9">
        <v>2</v>
      </c>
      <c r="B11" s="3" t="s">
        <v>95</v>
      </c>
      <c r="C11" s="4">
        <v>129100</v>
      </c>
    </row>
    <row r="12" spans="1:3" ht="20.100000000000001" customHeight="1">
      <c r="A12" s="8" t="s">
        <v>6</v>
      </c>
      <c r="B12" s="2" t="s">
        <v>11</v>
      </c>
      <c r="C12" s="5">
        <f>SUM(C13:C25)</f>
        <v>6310677</v>
      </c>
    </row>
    <row r="13" spans="1:3" ht="20.100000000000001" customHeight="1">
      <c r="A13" s="9">
        <v>1</v>
      </c>
      <c r="B13" s="3" t="s">
        <v>37</v>
      </c>
      <c r="C13" s="17">
        <v>1203232</v>
      </c>
    </row>
    <row r="14" spans="1:3" ht="20.100000000000001" customHeight="1">
      <c r="A14" s="9">
        <v>2</v>
      </c>
      <c r="B14" s="3" t="s">
        <v>60</v>
      </c>
      <c r="C14" s="17">
        <v>43030</v>
      </c>
    </row>
    <row r="15" spans="1:3" ht="20.100000000000001" customHeight="1">
      <c r="A15" s="9">
        <v>3</v>
      </c>
      <c r="B15" s="3" t="s">
        <v>178</v>
      </c>
      <c r="C15" s="17">
        <v>185642</v>
      </c>
    </row>
    <row r="16" spans="1:3" ht="20.100000000000001" customHeight="1">
      <c r="A16" s="9">
        <v>4</v>
      </c>
      <c r="B16" s="3" t="s">
        <v>47</v>
      </c>
      <c r="C16" s="17">
        <v>1136381</v>
      </c>
    </row>
    <row r="17" spans="1:3" ht="20.100000000000001" customHeight="1">
      <c r="A17" s="9">
        <v>5</v>
      </c>
      <c r="B17" s="3" t="s">
        <v>48</v>
      </c>
      <c r="C17" s="17">
        <v>188213</v>
      </c>
    </row>
    <row r="18" spans="1:3" ht="20.100000000000001" customHeight="1">
      <c r="A18" s="9">
        <v>6</v>
      </c>
      <c r="B18" s="3" t="s">
        <v>49</v>
      </c>
      <c r="C18" s="17">
        <v>29519</v>
      </c>
    </row>
    <row r="19" spans="1:3" ht="20.100000000000001" customHeight="1">
      <c r="A19" s="9">
        <v>7</v>
      </c>
      <c r="B19" s="3" t="s">
        <v>50</v>
      </c>
      <c r="C19" s="17">
        <v>135463</v>
      </c>
    </row>
    <row r="20" spans="1:3" ht="20.100000000000001" customHeight="1">
      <c r="A20" s="9">
        <v>8</v>
      </c>
      <c r="B20" s="3" t="s">
        <v>51</v>
      </c>
      <c r="C20" s="17">
        <v>20925</v>
      </c>
    </row>
    <row r="21" spans="1:3" ht="20.100000000000001" customHeight="1">
      <c r="A21" s="9">
        <v>9</v>
      </c>
      <c r="B21" s="3" t="s">
        <v>52</v>
      </c>
      <c r="C21" s="17">
        <v>759909</v>
      </c>
    </row>
    <row r="22" spans="1:3" ht="20.100000000000001" customHeight="1">
      <c r="A22" s="9">
        <v>10</v>
      </c>
      <c r="B22" s="3" t="s">
        <v>53</v>
      </c>
      <c r="C22" s="17">
        <v>1141329</v>
      </c>
    </row>
    <row r="23" spans="1:3" ht="20.100000000000001" customHeight="1">
      <c r="A23" s="9">
        <v>11</v>
      </c>
      <c r="B23" s="3" t="s">
        <v>54</v>
      </c>
      <c r="C23" s="17">
        <v>862940</v>
      </c>
    </row>
    <row r="24" spans="1:3" ht="20.100000000000001" customHeight="1">
      <c r="A24" s="9">
        <v>12</v>
      </c>
      <c r="B24" s="3" t="s">
        <v>55</v>
      </c>
      <c r="C24" s="17">
        <v>532181</v>
      </c>
    </row>
    <row r="25" spans="1:3" ht="20.100000000000001" customHeight="1">
      <c r="A25" s="9">
        <v>13</v>
      </c>
      <c r="B25" s="3" t="s">
        <v>118</v>
      </c>
      <c r="C25" s="17">
        <v>71913</v>
      </c>
    </row>
    <row r="26" spans="1:3" s="1" customFormat="1" ht="20.100000000000001" customHeight="1">
      <c r="A26" s="8" t="s">
        <v>7</v>
      </c>
      <c r="B26" s="2" t="s">
        <v>100</v>
      </c>
      <c r="C26" s="16">
        <v>8500</v>
      </c>
    </row>
    <row r="27" spans="1:3" ht="20.100000000000001" customHeight="1">
      <c r="A27" s="8" t="s">
        <v>8</v>
      </c>
      <c r="B27" s="2" t="s">
        <v>69</v>
      </c>
      <c r="C27" s="5">
        <v>1170</v>
      </c>
    </row>
    <row r="28" spans="1:3" ht="20.100000000000001" customHeight="1">
      <c r="A28" s="10" t="s">
        <v>12</v>
      </c>
      <c r="B28" s="11" t="s">
        <v>19</v>
      </c>
      <c r="C28" s="54">
        <v>259562.08000000002</v>
      </c>
    </row>
    <row r="29" spans="1:3" ht="85.5" customHeight="1">
      <c r="A29" s="13"/>
      <c r="B29" s="182" t="s">
        <v>98</v>
      </c>
      <c r="C29" s="182"/>
    </row>
    <row r="30" spans="1:3" ht="24" customHeight="1">
      <c r="A30" s="181"/>
      <c r="B30" s="181"/>
      <c r="C30" s="181"/>
    </row>
    <row r="31" spans="1:3" s="55" customFormat="1" ht="74.25" customHeight="1">
      <c r="A31" s="181"/>
      <c r="B31" s="181"/>
      <c r="C31" s="181"/>
    </row>
    <row r="32" spans="1:3" s="55" customFormat="1" ht="55.5" customHeight="1">
      <c r="A32" s="181"/>
      <c r="B32" s="181"/>
      <c r="C32" s="181"/>
    </row>
  </sheetData>
  <mergeCells count="7">
    <mergeCell ref="A1:C1"/>
    <mergeCell ref="A3:C3"/>
    <mergeCell ref="A30:C30"/>
    <mergeCell ref="A31:C31"/>
    <mergeCell ref="A32:C32"/>
    <mergeCell ref="A2:C2"/>
    <mergeCell ref="B29:C29"/>
  </mergeCells>
  <pageMargins left="1.21" right="0.22" top="0.51" bottom="0.36" header="0.3" footer="0.3"/>
  <pageSetup scale="8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workbookViewId="0">
      <pane xSplit="2" ySplit="6" topLeftCell="C28" activePane="bottomRight" state="frozen"/>
      <selection pane="topRight" activeCell="C1" sqref="C1"/>
      <selection pane="bottomLeft" activeCell="A7" sqref="A7"/>
      <selection pane="bottomRight" activeCell="C7" sqref="C7"/>
    </sheetView>
  </sheetViews>
  <sheetFormatPr defaultColWidth="8.88671875" defaultRowHeight="15.6"/>
  <cols>
    <col min="1" max="1" width="5.44140625" style="121" customWidth="1"/>
    <col min="2" max="2" width="55.33203125" style="100" bestFit="1" customWidth="1"/>
    <col min="3" max="3" width="12.6640625" style="86" bestFit="1" customWidth="1"/>
    <col min="4" max="4" width="13.6640625" style="77" customWidth="1"/>
    <col min="5" max="5" width="13.6640625" style="77" hidden="1" customWidth="1"/>
    <col min="6" max="7" width="13.6640625" style="77" customWidth="1"/>
    <col min="8" max="8" width="11.6640625" style="77" customWidth="1"/>
    <col min="9" max="9" width="12.6640625" style="77" customWidth="1"/>
    <col min="10" max="10" width="11.109375" style="100" customWidth="1"/>
    <col min="11" max="11" width="11" style="100" bestFit="1" customWidth="1"/>
    <col min="12" max="12" width="13.88671875" style="100" customWidth="1"/>
    <col min="13" max="13" width="52.33203125" style="100" customWidth="1"/>
    <col min="14" max="14" width="9.88671875" style="100" bestFit="1" customWidth="1"/>
    <col min="15" max="16384" width="8.88671875" style="100"/>
  </cols>
  <sheetData>
    <row r="1" spans="1:13" ht="16.8">
      <c r="A1" s="189" t="s">
        <v>188</v>
      </c>
      <c r="B1" s="189"/>
      <c r="C1" s="189"/>
      <c r="D1" s="189"/>
      <c r="E1" s="189"/>
      <c r="F1" s="189"/>
      <c r="G1" s="189"/>
      <c r="H1" s="189"/>
      <c r="I1" s="189"/>
      <c r="J1" s="189"/>
      <c r="K1" s="189"/>
      <c r="L1" s="189"/>
    </row>
    <row r="2" spans="1:13" ht="16.8" customHeight="1">
      <c r="A2" s="190" t="s">
        <v>189</v>
      </c>
      <c r="B2" s="190"/>
      <c r="C2" s="190"/>
      <c r="D2" s="190"/>
      <c r="E2" s="190"/>
      <c r="F2" s="190"/>
      <c r="G2" s="190"/>
      <c r="H2" s="190"/>
      <c r="I2" s="190"/>
      <c r="J2" s="190"/>
      <c r="K2" s="190"/>
      <c r="L2" s="190"/>
    </row>
    <row r="3" spans="1:13" ht="15.6" customHeight="1">
      <c r="A3" s="191" t="s">
        <v>177</v>
      </c>
      <c r="B3" s="191"/>
      <c r="C3" s="191"/>
      <c r="D3" s="191"/>
      <c r="E3" s="191"/>
      <c r="F3" s="191"/>
      <c r="G3" s="191"/>
      <c r="H3" s="191"/>
      <c r="I3" s="191"/>
      <c r="J3" s="191"/>
      <c r="K3" s="191"/>
      <c r="L3" s="191"/>
    </row>
    <row r="4" spans="1:13">
      <c r="A4" s="101"/>
      <c r="B4" s="102"/>
      <c r="H4" s="87"/>
      <c r="I4" s="88"/>
      <c r="K4" s="192" t="s">
        <v>5</v>
      </c>
      <c r="L4" s="192"/>
    </row>
    <row r="5" spans="1:13" ht="15.6" customHeight="1">
      <c r="A5" s="193" t="s">
        <v>0</v>
      </c>
      <c r="B5" s="193" t="s">
        <v>16</v>
      </c>
      <c r="C5" s="183" t="s">
        <v>13</v>
      </c>
      <c r="D5" s="183" t="s">
        <v>190</v>
      </c>
      <c r="E5" s="183" t="s">
        <v>191</v>
      </c>
      <c r="F5" s="183" t="s">
        <v>303</v>
      </c>
      <c r="G5" s="183" t="s">
        <v>100</v>
      </c>
      <c r="H5" s="183" t="s">
        <v>69</v>
      </c>
      <c r="I5" s="183" t="s">
        <v>192</v>
      </c>
      <c r="J5" s="185" t="s">
        <v>193</v>
      </c>
      <c r="K5" s="186"/>
      <c r="L5" s="187"/>
    </row>
    <row r="6" spans="1:13" ht="46.8">
      <c r="A6" s="194"/>
      <c r="B6" s="194"/>
      <c r="C6" s="184"/>
      <c r="D6" s="184"/>
      <c r="E6" s="184"/>
      <c r="F6" s="184"/>
      <c r="G6" s="184"/>
      <c r="H6" s="184"/>
      <c r="I6" s="184"/>
      <c r="J6" s="89" t="s">
        <v>194</v>
      </c>
      <c r="K6" s="103" t="s">
        <v>195</v>
      </c>
      <c r="L6" s="103" t="s">
        <v>196</v>
      </c>
    </row>
    <row r="7" spans="1:13">
      <c r="A7" s="104" t="s">
        <v>2</v>
      </c>
      <c r="B7" s="104" t="s">
        <v>3</v>
      </c>
      <c r="C7" s="89" t="s">
        <v>197</v>
      </c>
      <c r="D7" s="78" t="s">
        <v>198</v>
      </c>
      <c r="E7" s="78" t="s">
        <v>199</v>
      </c>
      <c r="F7" s="78" t="s">
        <v>199</v>
      </c>
      <c r="G7" s="78" t="s">
        <v>200</v>
      </c>
      <c r="H7" s="78" t="s">
        <v>201</v>
      </c>
      <c r="I7" s="78" t="s">
        <v>202</v>
      </c>
      <c r="J7" s="78" t="s">
        <v>203</v>
      </c>
      <c r="K7" s="78" t="s">
        <v>204</v>
      </c>
      <c r="L7" s="78" t="s">
        <v>205</v>
      </c>
    </row>
    <row r="8" spans="1:13">
      <c r="A8" s="105"/>
      <c r="B8" s="106" t="s">
        <v>206</v>
      </c>
      <c r="C8" s="79">
        <f t="shared" ref="C8:C10" si="0">SUM(D8:J8)-E8</f>
        <v>15812840</v>
      </c>
      <c r="D8" s="79">
        <f>+D9+D83+D84+D85+D86</f>
        <v>8243789</v>
      </c>
      <c r="E8" s="79">
        <f t="shared" ref="E8:L8" si="1">+E9+E83+E84+E85+E86</f>
        <v>4593105</v>
      </c>
      <c r="F8" s="79">
        <f>+F9+F83+F84+F85+F86</f>
        <v>6875799</v>
      </c>
      <c r="G8" s="79">
        <f t="shared" si="1"/>
        <v>8500</v>
      </c>
      <c r="H8" s="79">
        <f t="shared" si="1"/>
        <v>1170</v>
      </c>
      <c r="I8" s="79">
        <f t="shared" si="1"/>
        <v>259562</v>
      </c>
      <c r="J8" s="79">
        <f>+J9+J83+J84+J85+J86</f>
        <v>424020</v>
      </c>
      <c r="K8" s="79">
        <f t="shared" si="1"/>
        <v>299526</v>
      </c>
      <c r="L8" s="79">
        <f t="shared" si="1"/>
        <v>124494</v>
      </c>
      <c r="M8" s="107">
        <f>+F8+L8</f>
        <v>7000293</v>
      </c>
    </row>
    <row r="9" spans="1:13">
      <c r="A9" s="108" t="s">
        <v>9</v>
      </c>
      <c r="B9" s="109" t="s">
        <v>207</v>
      </c>
      <c r="C9" s="80">
        <f t="shared" si="0"/>
        <v>10473997</v>
      </c>
      <c r="D9" s="80">
        <v>4163320</v>
      </c>
      <c r="E9" s="80">
        <f>+E10+E42+E43+E66+E70+E73</f>
        <v>4328262</v>
      </c>
      <c r="F9" s="80">
        <f>+F10+F42+F43+F66+F70+F73</f>
        <v>6238764</v>
      </c>
      <c r="G9" s="80">
        <f t="shared" ref="G9:L9" si="2">+G10+G42+G43+G66+G70+G73</f>
        <v>0</v>
      </c>
      <c r="H9" s="80">
        <f t="shared" si="2"/>
        <v>0</v>
      </c>
      <c r="I9" s="80">
        <f t="shared" si="2"/>
        <v>0</v>
      </c>
      <c r="J9" s="80">
        <f t="shared" si="2"/>
        <v>71913</v>
      </c>
      <c r="K9" s="80">
        <f t="shared" si="2"/>
        <v>0</v>
      </c>
      <c r="L9" s="80">
        <f t="shared" si="2"/>
        <v>71913</v>
      </c>
      <c r="M9" s="107"/>
    </row>
    <row r="10" spans="1:13">
      <c r="A10" s="110" t="s">
        <v>208</v>
      </c>
      <c r="B10" s="111" t="s">
        <v>209</v>
      </c>
      <c r="C10" s="80">
        <f t="shared" si="0"/>
        <v>5015587</v>
      </c>
      <c r="D10" s="80">
        <f>SUM(D11:D41)</f>
        <v>0</v>
      </c>
      <c r="E10" s="80">
        <f>SUM(E11:E41)</f>
        <v>3157920</v>
      </c>
      <c r="F10" s="80">
        <f>SUM(F11:F41)</f>
        <v>5015587</v>
      </c>
      <c r="G10" s="80">
        <f t="shared" ref="G10:L10" si="3">SUM(G11:G41)</f>
        <v>0</v>
      </c>
      <c r="H10" s="80">
        <f t="shared" si="3"/>
        <v>0</v>
      </c>
      <c r="I10" s="80">
        <f t="shared" si="3"/>
        <v>0</v>
      </c>
      <c r="J10" s="80">
        <f t="shared" si="3"/>
        <v>0</v>
      </c>
      <c r="K10" s="80">
        <f t="shared" si="3"/>
        <v>0</v>
      </c>
      <c r="L10" s="80">
        <f t="shared" si="3"/>
        <v>0</v>
      </c>
      <c r="M10" s="107"/>
    </row>
    <row r="11" spans="1:13">
      <c r="A11" s="90">
        <v>1</v>
      </c>
      <c r="B11" s="91" t="s">
        <v>210</v>
      </c>
      <c r="C11" s="81">
        <f>SUM(D11:J11)-E11</f>
        <v>15516</v>
      </c>
      <c r="D11" s="81"/>
      <c r="E11" s="81">
        <v>15516</v>
      </c>
      <c r="F11" s="81">
        <v>15516</v>
      </c>
      <c r="G11" s="81"/>
      <c r="H11" s="83"/>
      <c r="I11" s="83"/>
      <c r="J11" s="81"/>
      <c r="K11" s="81"/>
      <c r="L11" s="81"/>
      <c r="M11" s="107"/>
    </row>
    <row r="12" spans="1:13">
      <c r="A12" s="90">
        <v>2</v>
      </c>
      <c r="B12" s="91" t="s">
        <v>211</v>
      </c>
      <c r="C12" s="81">
        <f>SUM(D12:J12)-E12</f>
        <v>37310</v>
      </c>
      <c r="D12" s="81"/>
      <c r="E12" s="81">
        <v>30727</v>
      </c>
      <c r="F12" s="81">
        <f>6583+30727</f>
        <v>37310</v>
      </c>
      <c r="G12" s="81"/>
      <c r="H12" s="83"/>
      <c r="I12" s="83"/>
      <c r="J12" s="81"/>
      <c r="K12" s="81"/>
      <c r="L12" s="81"/>
      <c r="M12" s="107"/>
    </row>
    <row r="13" spans="1:13">
      <c r="A13" s="90">
        <v>3</v>
      </c>
      <c r="B13" s="91" t="s">
        <v>212</v>
      </c>
      <c r="C13" s="81">
        <f t="shared" ref="C13:C76" si="4">SUM(D13:J13)-E13</f>
        <v>0</v>
      </c>
      <c r="D13" s="81"/>
      <c r="E13" s="81">
        <v>6583</v>
      </c>
      <c r="F13" s="81">
        <v>0</v>
      </c>
      <c r="G13" s="81"/>
      <c r="H13" s="83"/>
      <c r="I13" s="83"/>
      <c r="J13" s="81"/>
      <c r="K13" s="81"/>
      <c r="L13" s="81"/>
      <c r="M13" s="107"/>
    </row>
    <row r="14" spans="1:13">
      <c r="A14" s="90">
        <v>4</v>
      </c>
      <c r="B14" s="91" t="s">
        <v>213</v>
      </c>
      <c r="C14" s="81">
        <f t="shared" si="4"/>
        <v>0</v>
      </c>
      <c r="D14" s="81"/>
      <c r="E14" s="81">
        <v>237147</v>
      </c>
      <c r="F14" s="81">
        <v>0</v>
      </c>
      <c r="G14" s="81"/>
      <c r="H14" s="83"/>
      <c r="I14" s="83"/>
      <c r="J14" s="81"/>
      <c r="K14" s="81"/>
      <c r="L14" s="81"/>
      <c r="M14" s="107"/>
    </row>
    <row r="15" spans="1:13">
      <c r="A15" s="90">
        <v>5</v>
      </c>
      <c r="B15" s="91" t="s">
        <v>214</v>
      </c>
      <c r="C15" s="81">
        <f t="shared" si="4"/>
        <v>0</v>
      </c>
      <c r="D15" s="81"/>
      <c r="E15" s="81">
        <v>13988</v>
      </c>
      <c r="F15" s="81">
        <v>0</v>
      </c>
      <c r="G15" s="81"/>
      <c r="H15" s="83"/>
      <c r="I15" s="83"/>
      <c r="J15" s="81"/>
      <c r="K15" s="81"/>
      <c r="L15" s="81"/>
      <c r="M15" s="107"/>
    </row>
    <row r="16" spans="1:13">
      <c r="A16" s="90">
        <v>6</v>
      </c>
      <c r="B16" s="91" t="s">
        <v>215</v>
      </c>
      <c r="C16" s="81">
        <f t="shared" si="4"/>
        <v>17942</v>
      </c>
      <c r="D16" s="81"/>
      <c r="E16" s="81">
        <v>18187</v>
      </c>
      <c r="F16" s="81">
        <f>18187-136-109</f>
        <v>17942</v>
      </c>
      <c r="G16" s="81"/>
      <c r="H16" s="83"/>
      <c r="I16" s="83"/>
      <c r="J16" s="81"/>
      <c r="K16" s="81"/>
      <c r="L16" s="81"/>
      <c r="M16" s="107"/>
    </row>
    <row r="17" spans="1:13">
      <c r="A17" s="90">
        <v>7</v>
      </c>
      <c r="B17" s="91" t="s">
        <v>216</v>
      </c>
      <c r="C17" s="81">
        <f t="shared" si="4"/>
        <v>19764</v>
      </c>
      <c r="D17" s="81"/>
      <c r="E17" s="81">
        <v>19900</v>
      </c>
      <c r="F17" s="81">
        <f>19900-136</f>
        <v>19764</v>
      </c>
      <c r="G17" s="81"/>
      <c r="H17" s="83"/>
      <c r="I17" s="83"/>
      <c r="J17" s="81"/>
      <c r="K17" s="81"/>
      <c r="L17" s="81"/>
      <c r="M17" s="107"/>
    </row>
    <row r="18" spans="1:13">
      <c r="A18" s="90">
        <v>8</v>
      </c>
      <c r="B18" s="91" t="s">
        <v>217</v>
      </c>
      <c r="C18" s="81">
        <f t="shared" si="4"/>
        <v>81502</v>
      </c>
      <c r="D18" s="81"/>
      <c r="E18" s="81">
        <v>50176</v>
      </c>
      <c r="F18" s="81">
        <f>50176+31326</f>
        <v>81502</v>
      </c>
      <c r="G18" s="81"/>
      <c r="H18" s="83"/>
      <c r="I18" s="83"/>
      <c r="J18" s="81"/>
      <c r="K18" s="81"/>
      <c r="L18" s="81"/>
      <c r="M18" s="107"/>
    </row>
    <row r="19" spans="1:13">
      <c r="A19" s="90">
        <v>9</v>
      </c>
      <c r="B19" s="91" t="s">
        <v>218</v>
      </c>
      <c r="C19" s="81">
        <f t="shared" si="4"/>
        <v>36145</v>
      </c>
      <c r="D19" s="81"/>
      <c r="E19" s="81">
        <v>25229</v>
      </c>
      <c r="F19" s="81">
        <f>25229+13988-2800-(136+136)</f>
        <v>36145</v>
      </c>
      <c r="G19" s="81"/>
      <c r="H19" s="83"/>
      <c r="I19" s="83"/>
      <c r="J19" s="81"/>
      <c r="K19" s="81"/>
      <c r="L19" s="81"/>
      <c r="M19" s="107"/>
    </row>
    <row r="20" spans="1:13">
      <c r="A20" s="90">
        <v>10</v>
      </c>
      <c r="B20" s="91" t="s">
        <v>219</v>
      </c>
      <c r="C20" s="81">
        <f t="shared" si="4"/>
        <v>69007</v>
      </c>
      <c r="D20" s="81"/>
      <c r="E20" s="81">
        <v>11298</v>
      </c>
      <c r="F20" s="81">
        <f>57981+11298-(136+136)</f>
        <v>69007</v>
      </c>
      <c r="G20" s="81"/>
      <c r="H20" s="83"/>
      <c r="I20" s="83"/>
      <c r="J20" s="81"/>
      <c r="K20" s="81"/>
      <c r="L20" s="81"/>
      <c r="M20" s="107"/>
    </row>
    <row r="21" spans="1:13">
      <c r="A21" s="90">
        <v>11</v>
      </c>
      <c r="B21" s="91" t="s">
        <v>220</v>
      </c>
      <c r="C21" s="81">
        <f t="shared" si="4"/>
        <v>0</v>
      </c>
      <c r="D21" s="81"/>
      <c r="E21" s="81">
        <v>57981</v>
      </c>
      <c r="F21" s="81">
        <v>0</v>
      </c>
      <c r="G21" s="81"/>
      <c r="H21" s="83"/>
      <c r="I21" s="83"/>
      <c r="J21" s="81"/>
      <c r="K21" s="81"/>
      <c r="L21" s="81"/>
      <c r="M21" s="107"/>
    </row>
    <row r="22" spans="1:13">
      <c r="A22" s="90">
        <v>12</v>
      </c>
      <c r="B22" s="91" t="s">
        <v>221</v>
      </c>
      <c r="C22" s="81">
        <f t="shared" si="4"/>
        <v>1072201</v>
      </c>
      <c r="D22" s="81"/>
      <c r="E22" s="81">
        <v>947713</v>
      </c>
      <c r="F22" s="81">
        <f>947713+124624-136</f>
        <v>1072201</v>
      </c>
      <c r="G22" s="81"/>
      <c r="H22" s="83"/>
      <c r="I22" s="83"/>
      <c r="J22" s="81"/>
      <c r="K22" s="81"/>
      <c r="L22" s="81"/>
      <c r="M22" s="107"/>
    </row>
    <row r="23" spans="1:13">
      <c r="A23" s="90">
        <v>13</v>
      </c>
      <c r="B23" s="91" t="s">
        <v>222</v>
      </c>
      <c r="C23" s="81">
        <f t="shared" si="4"/>
        <v>632646</v>
      </c>
      <c r="D23" s="81"/>
      <c r="E23" s="81">
        <v>626880</v>
      </c>
      <c r="F23" s="81">
        <f>626880-136-218-30000+36120</f>
        <v>632646</v>
      </c>
      <c r="G23" s="81"/>
      <c r="H23" s="83"/>
      <c r="I23" s="83"/>
      <c r="J23" s="81"/>
      <c r="K23" s="81"/>
      <c r="L23" s="81"/>
      <c r="M23" s="107"/>
    </row>
    <row r="24" spans="1:13">
      <c r="A24" s="90">
        <v>14</v>
      </c>
      <c r="B24" s="91" t="s">
        <v>223</v>
      </c>
      <c r="C24" s="81">
        <f t="shared" si="4"/>
        <v>0</v>
      </c>
      <c r="D24" s="81"/>
      <c r="E24" s="81">
        <v>270849</v>
      </c>
      <c r="F24" s="81">
        <v>0</v>
      </c>
      <c r="G24" s="81"/>
      <c r="H24" s="83"/>
      <c r="I24" s="83"/>
      <c r="J24" s="81"/>
      <c r="K24" s="81"/>
      <c r="L24" s="81"/>
      <c r="M24" s="107"/>
    </row>
    <row r="25" spans="1:13">
      <c r="A25" s="90">
        <v>15</v>
      </c>
      <c r="B25" s="91" t="s">
        <v>224</v>
      </c>
      <c r="C25" s="81">
        <f t="shared" si="4"/>
        <v>203776</v>
      </c>
      <c r="D25" s="81"/>
      <c r="E25" s="81">
        <v>188043</v>
      </c>
      <c r="F25" s="81">
        <f>188043+16414-136-218-327</f>
        <v>203776</v>
      </c>
      <c r="G25" s="81"/>
      <c r="H25" s="83"/>
      <c r="I25" s="83"/>
      <c r="J25" s="81"/>
      <c r="K25" s="81"/>
      <c r="L25" s="81"/>
      <c r="M25" s="107"/>
    </row>
    <row r="26" spans="1:13">
      <c r="A26" s="90">
        <v>16</v>
      </c>
      <c r="B26" s="91" t="s">
        <v>225</v>
      </c>
      <c r="C26" s="81">
        <f t="shared" si="4"/>
        <v>0</v>
      </c>
      <c r="D26" s="81"/>
      <c r="E26" s="81">
        <v>57651</v>
      </c>
      <c r="F26" s="81">
        <v>0</v>
      </c>
      <c r="G26" s="81"/>
      <c r="H26" s="83"/>
      <c r="I26" s="83"/>
      <c r="J26" s="81"/>
      <c r="K26" s="81"/>
      <c r="L26" s="81"/>
      <c r="M26" s="107"/>
    </row>
    <row r="27" spans="1:13">
      <c r="A27" s="90">
        <v>17</v>
      </c>
      <c r="B27" s="91" t="s">
        <v>226</v>
      </c>
      <c r="C27" s="81">
        <f t="shared" si="4"/>
        <v>291840</v>
      </c>
      <c r="D27" s="81"/>
      <c r="E27" s="81"/>
      <c r="F27" s="81">
        <f>+(57651+237147)-2500-1145-109+796</f>
        <v>291840</v>
      </c>
      <c r="G27" s="81"/>
      <c r="H27" s="83"/>
      <c r="I27" s="83"/>
      <c r="J27" s="81"/>
      <c r="K27" s="81"/>
      <c r="L27" s="81"/>
      <c r="M27" s="107"/>
    </row>
    <row r="28" spans="1:13">
      <c r="A28" s="90">
        <v>18</v>
      </c>
      <c r="B28" s="91" t="s">
        <v>227</v>
      </c>
      <c r="C28" s="81">
        <f t="shared" si="4"/>
        <v>0</v>
      </c>
      <c r="D28" s="81"/>
      <c r="E28" s="81">
        <v>54319</v>
      </c>
      <c r="F28" s="81">
        <v>0</v>
      </c>
      <c r="G28" s="81"/>
      <c r="H28" s="83"/>
      <c r="I28" s="83"/>
      <c r="J28" s="81"/>
      <c r="K28" s="81"/>
      <c r="L28" s="81"/>
      <c r="M28" s="107"/>
    </row>
    <row r="29" spans="1:13">
      <c r="A29" s="90">
        <v>19</v>
      </c>
      <c r="B29" s="91" t="s">
        <v>228</v>
      </c>
      <c r="C29" s="81">
        <f t="shared" si="4"/>
        <v>146938</v>
      </c>
      <c r="D29" s="81"/>
      <c r="E29" s="81">
        <v>104352</v>
      </c>
      <c r="F29" s="81">
        <f>104352-7258-9800+59644</f>
        <v>146938</v>
      </c>
      <c r="G29" s="81"/>
      <c r="H29" s="83"/>
      <c r="I29" s="83"/>
      <c r="J29" s="81"/>
      <c r="K29" s="81"/>
      <c r="L29" s="81"/>
      <c r="M29" s="107"/>
    </row>
    <row r="30" spans="1:13">
      <c r="A30" s="90">
        <v>20</v>
      </c>
      <c r="B30" s="91" t="s">
        <v>229</v>
      </c>
      <c r="C30" s="81">
        <f t="shared" si="4"/>
        <v>11947</v>
      </c>
      <c r="D30" s="81"/>
      <c r="E30" s="81"/>
      <c r="F30" s="81">
        <f>7258+4689</f>
        <v>11947</v>
      </c>
      <c r="G30" s="81"/>
      <c r="H30" s="83"/>
      <c r="I30" s="83"/>
      <c r="J30" s="81"/>
      <c r="K30" s="81"/>
      <c r="L30" s="81"/>
      <c r="M30" s="107"/>
    </row>
    <row r="31" spans="1:13">
      <c r="A31" s="90">
        <v>21</v>
      </c>
      <c r="B31" s="91" t="s">
        <v>230</v>
      </c>
      <c r="C31" s="81">
        <f t="shared" si="4"/>
        <v>15105</v>
      </c>
      <c r="D31" s="81"/>
      <c r="E31" s="81">
        <v>15105</v>
      </c>
      <c r="F31" s="81">
        <v>15105</v>
      </c>
      <c r="G31" s="81"/>
      <c r="H31" s="83"/>
      <c r="I31" s="83"/>
      <c r="J31" s="81"/>
      <c r="K31" s="81"/>
      <c r="L31" s="81"/>
      <c r="M31" s="107"/>
    </row>
    <row r="32" spans="1:13">
      <c r="A32" s="90">
        <v>22</v>
      </c>
      <c r="B32" s="91" t="s">
        <v>231</v>
      </c>
      <c r="C32" s="81">
        <f t="shared" si="4"/>
        <v>0</v>
      </c>
      <c r="D32" s="81"/>
      <c r="E32" s="81">
        <v>4689</v>
      </c>
      <c r="F32" s="81">
        <v>0</v>
      </c>
      <c r="G32" s="81"/>
      <c r="H32" s="83"/>
      <c r="I32" s="83"/>
      <c r="J32" s="81"/>
      <c r="K32" s="81"/>
      <c r="L32" s="81"/>
      <c r="M32" s="107"/>
    </row>
    <row r="33" spans="1:13">
      <c r="A33" s="90">
        <v>23</v>
      </c>
      <c r="B33" s="91" t="s">
        <v>232</v>
      </c>
      <c r="C33" s="81">
        <f t="shared" si="4"/>
        <v>11193</v>
      </c>
      <c r="D33" s="81"/>
      <c r="E33" s="81">
        <v>11193</v>
      </c>
      <c r="F33" s="81">
        <v>11193</v>
      </c>
      <c r="G33" s="81"/>
      <c r="H33" s="83"/>
      <c r="I33" s="83"/>
      <c r="J33" s="81"/>
      <c r="K33" s="81"/>
      <c r="L33" s="81"/>
      <c r="M33" s="107"/>
    </row>
    <row r="34" spans="1:13">
      <c r="A34" s="90">
        <v>24</v>
      </c>
      <c r="B34" s="91" t="s">
        <v>233</v>
      </c>
      <c r="C34" s="81">
        <f t="shared" si="4"/>
        <v>32674</v>
      </c>
      <c r="D34" s="81"/>
      <c r="E34" s="81">
        <v>35374</v>
      </c>
      <c r="F34" s="81">
        <f>35374-2700</f>
        <v>32674</v>
      </c>
      <c r="G34" s="81"/>
      <c r="H34" s="83"/>
      <c r="I34" s="83"/>
      <c r="J34" s="81"/>
      <c r="K34" s="81"/>
      <c r="L34" s="81"/>
      <c r="M34" s="107"/>
    </row>
    <row r="35" spans="1:13">
      <c r="A35" s="90">
        <v>25</v>
      </c>
      <c r="B35" s="91" t="s">
        <v>234</v>
      </c>
      <c r="C35" s="81">
        <f t="shared" si="4"/>
        <v>25862</v>
      </c>
      <c r="D35" s="81"/>
      <c r="E35" s="81">
        <v>30162</v>
      </c>
      <c r="F35" s="81">
        <f>30162-4300</f>
        <v>25862</v>
      </c>
      <c r="G35" s="81"/>
      <c r="H35" s="83"/>
      <c r="I35" s="83"/>
      <c r="J35" s="81"/>
      <c r="K35" s="81"/>
      <c r="L35" s="81"/>
      <c r="M35" s="107"/>
    </row>
    <row r="36" spans="1:13">
      <c r="A36" s="90">
        <v>26</v>
      </c>
      <c r="B36" s="91" t="s">
        <v>235</v>
      </c>
      <c r="C36" s="81">
        <f t="shared" si="4"/>
        <v>18648</v>
      </c>
      <c r="D36" s="81"/>
      <c r="E36" s="81">
        <v>18847</v>
      </c>
      <c r="F36" s="81">
        <f>18847-199</f>
        <v>18648</v>
      </c>
      <c r="G36" s="81"/>
      <c r="H36" s="83"/>
      <c r="I36" s="83"/>
      <c r="J36" s="81"/>
      <c r="K36" s="81"/>
      <c r="L36" s="81"/>
      <c r="M36" s="107"/>
    </row>
    <row r="37" spans="1:13">
      <c r="A37" s="90">
        <v>27</v>
      </c>
      <c r="B37" s="91" t="s">
        <v>236</v>
      </c>
      <c r="C37" s="81">
        <f t="shared" si="4"/>
        <v>41083</v>
      </c>
      <c r="D37" s="81"/>
      <c r="E37" s="81">
        <v>41083</v>
      </c>
      <c r="F37" s="81">
        <v>41083</v>
      </c>
      <c r="G37" s="81"/>
      <c r="H37" s="83"/>
      <c r="I37" s="83"/>
      <c r="J37" s="81"/>
      <c r="K37" s="81"/>
      <c r="L37" s="81"/>
      <c r="M37" s="107"/>
    </row>
    <row r="38" spans="1:13">
      <c r="A38" s="90">
        <v>28</v>
      </c>
      <c r="B38" s="92" t="s">
        <v>237</v>
      </c>
      <c r="C38" s="81">
        <f t="shared" si="4"/>
        <v>18053</v>
      </c>
      <c r="D38" s="81"/>
      <c r="E38" s="81">
        <v>18053</v>
      </c>
      <c r="F38" s="81">
        <v>18053</v>
      </c>
      <c r="G38" s="81"/>
      <c r="H38" s="83"/>
      <c r="I38" s="83"/>
      <c r="J38" s="81"/>
      <c r="K38" s="81"/>
      <c r="L38" s="81"/>
      <c r="M38" s="107"/>
    </row>
    <row r="39" spans="1:13">
      <c r="A39" s="90">
        <v>29</v>
      </c>
      <c r="B39" s="92" t="s">
        <v>238</v>
      </c>
      <c r="C39" s="81">
        <f t="shared" si="4"/>
        <v>400</v>
      </c>
      <c r="D39" s="81"/>
      <c r="E39" s="81">
        <v>400</v>
      </c>
      <c r="F39" s="81">
        <v>400</v>
      </c>
      <c r="G39" s="81"/>
      <c r="H39" s="83"/>
      <c r="I39" s="83"/>
      <c r="J39" s="81"/>
      <c r="K39" s="81"/>
      <c r="L39" s="81"/>
      <c r="M39" s="107"/>
    </row>
    <row r="40" spans="1:13">
      <c r="A40" s="90">
        <v>30</v>
      </c>
      <c r="B40" s="92" t="s">
        <v>239</v>
      </c>
      <c r="C40" s="81">
        <f t="shared" si="4"/>
        <v>1498</v>
      </c>
      <c r="D40" s="81"/>
      <c r="E40" s="81">
        <v>1498</v>
      </c>
      <c r="F40" s="81">
        <v>1498</v>
      </c>
      <c r="G40" s="81"/>
      <c r="H40" s="83"/>
      <c r="I40" s="83"/>
      <c r="J40" s="81"/>
      <c r="K40" s="81"/>
      <c r="L40" s="81"/>
      <c r="M40" s="107"/>
    </row>
    <row r="41" spans="1:13">
      <c r="A41" s="90">
        <v>31</v>
      </c>
      <c r="B41" s="92" t="s">
        <v>240</v>
      </c>
      <c r="C41" s="81">
        <f t="shared" si="4"/>
        <v>2214537</v>
      </c>
      <c r="D41" s="81"/>
      <c r="E41" s="81">
        <f>87035+157942</f>
        <v>244977</v>
      </c>
      <c r="F41" s="81">
        <f>87035+157942+(2500+2800+9800+4300+2700+2000)+(680+199+218+218+327+109)+(1145+109+136+136+136+136+79+1330)+30000+1910502</f>
        <v>2214537</v>
      </c>
      <c r="G41" s="81"/>
      <c r="H41" s="83"/>
      <c r="I41" s="83"/>
      <c r="J41" s="81"/>
      <c r="K41" s="81"/>
      <c r="L41" s="81"/>
      <c r="M41" s="107"/>
    </row>
    <row r="42" spans="1:13">
      <c r="A42" s="93" t="s">
        <v>241</v>
      </c>
      <c r="B42" s="94" t="s">
        <v>242</v>
      </c>
      <c r="C42" s="82">
        <f t="shared" si="4"/>
        <v>156619</v>
      </c>
      <c r="D42" s="82"/>
      <c r="E42" s="82">
        <v>156619</v>
      </c>
      <c r="F42" s="82">
        <v>156619</v>
      </c>
      <c r="G42" s="82"/>
      <c r="H42" s="80"/>
      <c r="I42" s="80"/>
      <c r="J42" s="82"/>
      <c r="K42" s="82"/>
      <c r="L42" s="82"/>
      <c r="M42" s="107"/>
    </row>
    <row r="43" spans="1:13">
      <c r="A43" s="93" t="s">
        <v>243</v>
      </c>
      <c r="B43" s="94" t="s">
        <v>244</v>
      </c>
      <c r="C43" s="82">
        <f t="shared" si="4"/>
        <v>77658</v>
      </c>
      <c r="D43" s="82">
        <f>SUM(D44:D65)</f>
        <v>0</v>
      </c>
      <c r="E43" s="82">
        <f t="shared" ref="E43:L43" si="5">SUM(E44:E65)</f>
        <v>77658</v>
      </c>
      <c r="F43" s="82">
        <f t="shared" si="5"/>
        <v>77658</v>
      </c>
      <c r="G43" s="82">
        <f t="shared" si="5"/>
        <v>0</v>
      </c>
      <c r="H43" s="82">
        <f t="shared" si="5"/>
        <v>0</v>
      </c>
      <c r="I43" s="82">
        <f t="shared" si="5"/>
        <v>0</v>
      </c>
      <c r="J43" s="82">
        <f t="shared" si="5"/>
        <v>0</v>
      </c>
      <c r="K43" s="82">
        <f t="shared" si="5"/>
        <v>0</v>
      </c>
      <c r="L43" s="82">
        <f t="shared" si="5"/>
        <v>0</v>
      </c>
      <c r="M43" s="107"/>
    </row>
    <row r="44" spans="1:13">
      <c r="A44" s="95">
        <v>32</v>
      </c>
      <c r="B44" s="96" t="s">
        <v>245</v>
      </c>
      <c r="C44" s="81">
        <f t="shared" si="4"/>
        <v>14248</v>
      </c>
      <c r="D44" s="81"/>
      <c r="E44" s="81">
        <v>14248</v>
      </c>
      <c r="F44" s="81">
        <v>14248</v>
      </c>
      <c r="G44" s="81"/>
      <c r="H44" s="83"/>
      <c r="I44" s="83"/>
      <c r="J44" s="81"/>
      <c r="K44" s="81"/>
      <c r="L44" s="81"/>
      <c r="M44" s="107"/>
    </row>
    <row r="45" spans="1:13">
      <c r="A45" s="95">
        <v>33</v>
      </c>
      <c r="B45" s="96" t="s">
        <v>246</v>
      </c>
      <c r="C45" s="81">
        <f t="shared" si="4"/>
        <v>16555</v>
      </c>
      <c r="D45" s="81"/>
      <c r="E45" s="81">
        <v>16555</v>
      </c>
      <c r="F45" s="81">
        <v>16555</v>
      </c>
      <c r="G45" s="81"/>
      <c r="H45" s="83"/>
      <c r="I45" s="83"/>
      <c r="J45" s="81"/>
      <c r="K45" s="81"/>
      <c r="L45" s="81"/>
      <c r="M45" s="107"/>
    </row>
    <row r="46" spans="1:13">
      <c r="A46" s="95">
        <v>34</v>
      </c>
      <c r="B46" s="96" t="s">
        <v>247</v>
      </c>
      <c r="C46" s="81">
        <f t="shared" si="4"/>
        <v>8992</v>
      </c>
      <c r="D46" s="81"/>
      <c r="E46" s="81">
        <v>8992</v>
      </c>
      <c r="F46" s="81">
        <v>8992</v>
      </c>
      <c r="G46" s="81"/>
      <c r="H46" s="83"/>
      <c r="I46" s="83"/>
      <c r="J46" s="81"/>
      <c r="K46" s="81"/>
      <c r="L46" s="81"/>
      <c r="M46" s="107"/>
    </row>
    <row r="47" spans="1:13">
      <c r="A47" s="95">
        <v>35</v>
      </c>
      <c r="B47" s="96" t="s">
        <v>248</v>
      </c>
      <c r="C47" s="81">
        <f t="shared" si="4"/>
        <v>9383</v>
      </c>
      <c r="D47" s="81"/>
      <c r="E47" s="81">
        <v>9383</v>
      </c>
      <c r="F47" s="81">
        <v>9383</v>
      </c>
      <c r="G47" s="81"/>
      <c r="H47" s="83"/>
      <c r="I47" s="83"/>
      <c r="J47" s="81"/>
      <c r="K47" s="81"/>
      <c r="L47" s="81"/>
      <c r="M47" s="107"/>
    </row>
    <row r="48" spans="1:13">
      <c r="A48" s="95">
        <v>36</v>
      </c>
      <c r="B48" s="96" t="s">
        <v>249</v>
      </c>
      <c r="C48" s="81">
        <f t="shared" si="4"/>
        <v>2589</v>
      </c>
      <c r="D48" s="81"/>
      <c r="E48" s="81">
        <v>2589</v>
      </c>
      <c r="F48" s="81">
        <v>2589</v>
      </c>
      <c r="G48" s="81"/>
      <c r="H48" s="83"/>
      <c r="I48" s="83"/>
      <c r="J48" s="81"/>
      <c r="K48" s="81"/>
      <c r="L48" s="81"/>
      <c r="M48" s="107"/>
    </row>
    <row r="49" spans="1:13">
      <c r="A49" s="95">
        <v>37</v>
      </c>
      <c r="B49" s="96" t="s">
        <v>250</v>
      </c>
      <c r="C49" s="81">
        <f t="shared" si="4"/>
        <v>2913</v>
      </c>
      <c r="D49" s="81"/>
      <c r="E49" s="81">
        <v>2913</v>
      </c>
      <c r="F49" s="81">
        <v>2913</v>
      </c>
      <c r="G49" s="81"/>
      <c r="H49" s="83"/>
      <c r="I49" s="83"/>
      <c r="J49" s="81"/>
      <c r="K49" s="81"/>
      <c r="L49" s="81"/>
      <c r="M49" s="107"/>
    </row>
    <row r="50" spans="1:13">
      <c r="A50" s="95">
        <v>38</v>
      </c>
      <c r="B50" s="96" t="s">
        <v>251</v>
      </c>
      <c r="C50" s="81">
        <f t="shared" si="4"/>
        <v>1557</v>
      </c>
      <c r="D50" s="81"/>
      <c r="E50" s="81">
        <v>1557</v>
      </c>
      <c r="F50" s="81">
        <v>1557</v>
      </c>
      <c r="G50" s="81"/>
      <c r="H50" s="83"/>
      <c r="I50" s="83"/>
      <c r="J50" s="81"/>
      <c r="K50" s="81"/>
      <c r="L50" s="81"/>
      <c r="M50" s="107"/>
    </row>
    <row r="51" spans="1:13">
      <c r="A51" s="95">
        <v>39</v>
      </c>
      <c r="B51" s="96" t="s">
        <v>252</v>
      </c>
      <c r="C51" s="81">
        <f t="shared" si="4"/>
        <v>4670</v>
      </c>
      <c r="D51" s="81"/>
      <c r="E51" s="81">
        <v>4670</v>
      </c>
      <c r="F51" s="81">
        <v>4670</v>
      </c>
      <c r="G51" s="81"/>
      <c r="H51" s="83"/>
      <c r="I51" s="83"/>
      <c r="J51" s="81"/>
      <c r="K51" s="81"/>
      <c r="L51" s="81"/>
      <c r="M51" s="107"/>
    </row>
    <row r="52" spans="1:13">
      <c r="A52" s="95">
        <v>40</v>
      </c>
      <c r="B52" s="96" t="s">
        <v>253</v>
      </c>
      <c r="C52" s="81">
        <f t="shared" si="4"/>
        <v>4091</v>
      </c>
      <c r="D52" s="81"/>
      <c r="E52" s="81">
        <v>4091</v>
      </c>
      <c r="F52" s="81">
        <v>4091</v>
      </c>
      <c r="G52" s="81"/>
      <c r="H52" s="83"/>
      <c r="I52" s="83"/>
      <c r="J52" s="81"/>
      <c r="K52" s="81"/>
      <c r="L52" s="81"/>
      <c r="M52" s="107"/>
    </row>
    <row r="53" spans="1:13">
      <c r="A53" s="95">
        <v>41</v>
      </c>
      <c r="B53" s="96" t="s">
        <v>254</v>
      </c>
      <c r="C53" s="81">
        <f t="shared" si="4"/>
        <v>1554</v>
      </c>
      <c r="D53" s="81"/>
      <c r="E53" s="81">
        <v>1554</v>
      </c>
      <c r="F53" s="81">
        <v>1554</v>
      </c>
      <c r="G53" s="81"/>
      <c r="H53" s="83"/>
      <c r="I53" s="83"/>
      <c r="J53" s="81"/>
      <c r="K53" s="81"/>
      <c r="L53" s="81"/>
      <c r="M53" s="107"/>
    </row>
    <row r="54" spans="1:13">
      <c r="A54" s="95">
        <v>42</v>
      </c>
      <c r="B54" s="96" t="s">
        <v>255</v>
      </c>
      <c r="C54" s="81">
        <f t="shared" si="4"/>
        <v>1266</v>
      </c>
      <c r="D54" s="81"/>
      <c r="E54" s="81">
        <v>1266</v>
      </c>
      <c r="F54" s="81">
        <v>1266</v>
      </c>
      <c r="G54" s="81"/>
      <c r="H54" s="83"/>
      <c r="I54" s="83"/>
      <c r="J54" s="81"/>
      <c r="K54" s="81"/>
      <c r="L54" s="81"/>
      <c r="M54" s="107"/>
    </row>
    <row r="55" spans="1:13">
      <c r="A55" s="95">
        <v>43</v>
      </c>
      <c r="B55" s="96" t="s">
        <v>256</v>
      </c>
      <c r="C55" s="81">
        <f t="shared" si="4"/>
        <v>3363</v>
      </c>
      <c r="D55" s="81"/>
      <c r="E55" s="81">
        <v>3363</v>
      </c>
      <c r="F55" s="81">
        <v>3363</v>
      </c>
      <c r="G55" s="81"/>
      <c r="H55" s="83"/>
      <c r="I55" s="83"/>
      <c r="J55" s="81"/>
      <c r="K55" s="81"/>
      <c r="L55" s="81"/>
      <c r="M55" s="107"/>
    </row>
    <row r="56" spans="1:13">
      <c r="A56" s="95">
        <v>44</v>
      </c>
      <c r="B56" s="96" t="s">
        <v>257</v>
      </c>
      <c r="C56" s="81">
        <f t="shared" si="4"/>
        <v>700</v>
      </c>
      <c r="D56" s="81"/>
      <c r="E56" s="81">
        <v>700</v>
      </c>
      <c r="F56" s="81">
        <v>700</v>
      </c>
      <c r="G56" s="81"/>
      <c r="H56" s="83"/>
      <c r="I56" s="83"/>
      <c r="J56" s="81"/>
      <c r="K56" s="81"/>
      <c r="L56" s="81"/>
      <c r="M56" s="107"/>
    </row>
    <row r="57" spans="1:13">
      <c r="A57" s="95">
        <v>45</v>
      </c>
      <c r="B57" s="96" t="s">
        <v>258</v>
      </c>
      <c r="C57" s="81">
        <f t="shared" si="4"/>
        <v>707</v>
      </c>
      <c r="D57" s="81"/>
      <c r="E57" s="81">
        <v>707</v>
      </c>
      <c r="F57" s="81">
        <v>707</v>
      </c>
      <c r="G57" s="81"/>
      <c r="H57" s="83"/>
      <c r="I57" s="83"/>
      <c r="J57" s="81"/>
      <c r="K57" s="81"/>
      <c r="L57" s="81"/>
      <c r="M57" s="107"/>
    </row>
    <row r="58" spans="1:13">
      <c r="A58" s="95">
        <v>46</v>
      </c>
      <c r="B58" s="96" t="s">
        <v>259</v>
      </c>
      <c r="C58" s="81">
        <f t="shared" si="4"/>
        <v>1017</v>
      </c>
      <c r="D58" s="81"/>
      <c r="E58" s="81">
        <v>1017</v>
      </c>
      <c r="F58" s="81">
        <v>1017</v>
      </c>
      <c r="G58" s="81"/>
      <c r="H58" s="83"/>
      <c r="I58" s="83"/>
      <c r="J58" s="81"/>
      <c r="K58" s="81"/>
      <c r="L58" s="81"/>
      <c r="M58" s="107"/>
    </row>
    <row r="59" spans="1:13">
      <c r="A59" s="95">
        <v>47</v>
      </c>
      <c r="B59" s="96" t="s">
        <v>260</v>
      </c>
      <c r="C59" s="81">
        <f t="shared" si="4"/>
        <v>929</v>
      </c>
      <c r="D59" s="81"/>
      <c r="E59" s="81">
        <v>929</v>
      </c>
      <c r="F59" s="81">
        <v>929</v>
      </c>
      <c r="G59" s="81"/>
      <c r="H59" s="83"/>
      <c r="I59" s="83"/>
      <c r="J59" s="81"/>
      <c r="K59" s="81"/>
      <c r="L59" s="81"/>
      <c r="M59" s="107"/>
    </row>
    <row r="60" spans="1:13">
      <c r="A60" s="95">
        <v>48</v>
      </c>
      <c r="B60" s="96" t="s">
        <v>261</v>
      </c>
      <c r="C60" s="81">
        <f t="shared" si="4"/>
        <v>596</v>
      </c>
      <c r="D60" s="81"/>
      <c r="E60" s="81">
        <v>596</v>
      </c>
      <c r="F60" s="81">
        <v>596</v>
      </c>
      <c r="G60" s="81"/>
      <c r="H60" s="83"/>
      <c r="I60" s="83"/>
      <c r="J60" s="81"/>
      <c r="K60" s="81"/>
      <c r="L60" s="81"/>
      <c r="M60" s="107"/>
    </row>
    <row r="61" spans="1:13">
      <c r="A61" s="95">
        <v>49</v>
      </c>
      <c r="B61" s="96" t="s">
        <v>262</v>
      </c>
      <c r="C61" s="81">
        <f t="shared" si="4"/>
        <v>801</v>
      </c>
      <c r="D61" s="81"/>
      <c r="E61" s="81">
        <v>801</v>
      </c>
      <c r="F61" s="81">
        <v>801</v>
      </c>
      <c r="G61" s="81"/>
      <c r="H61" s="83"/>
      <c r="I61" s="83"/>
      <c r="J61" s="81"/>
      <c r="K61" s="81"/>
      <c r="L61" s="81"/>
      <c r="M61" s="107"/>
    </row>
    <row r="62" spans="1:13">
      <c r="A62" s="95">
        <v>50</v>
      </c>
      <c r="B62" s="96" t="s">
        <v>263</v>
      </c>
      <c r="C62" s="81">
        <f t="shared" si="4"/>
        <v>606</v>
      </c>
      <c r="D62" s="81"/>
      <c r="E62" s="81">
        <v>606</v>
      </c>
      <c r="F62" s="81">
        <v>606</v>
      </c>
      <c r="G62" s="81"/>
      <c r="H62" s="83"/>
      <c r="I62" s="83"/>
      <c r="J62" s="81"/>
      <c r="K62" s="81"/>
      <c r="L62" s="81"/>
      <c r="M62" s="107"/>
    </row>
    <row r="63" spans="1:13">
      <c r="A63" s="95">
        <v>51</v>
      </c>
      <c r="B63" s="96" t="s">
        <v>264</v>
      </c>
      <c r="C63" s="81">
        <f t="shared" si="4"/>
        <v>771</v>
      </c>
      <c r="D63" s="81"/>
      <c r="E63" s="81">
        <v>771</v>
      </c>
      <c r="F63" s="81">
        <v>771</v>
      </c>
      <c r="G63" s="81"/>
      <c r="H63" s="83"/>
      <c r="I63" s="83"/>
      <c r="J63" s="81"/>
      <c r="K63" s="81"/>
      <c r="L63" s="81"/>
      <c r="M63" s="107"/>
    </row>
    <row r="64" spans="1:13">
      <c r="A64" s="95">
        <v>52</v>
      </c>
      <c r="B64" s="96" t="s">
        <v>265</v>
      </c>
      <c r="C64" s="81">
        <f t="shared" si="4"/>
        <v>80</v>
      </c>
      <c r="D64" s="81"/>
      <c r="E64" s="81">
        <v>80</v>
      </c>
      <c r="F64" s="81">
        <v>80</v>
      </c>
      <c r="G64" s="81"/>
      <c r="H64" s="83"/>
      <c r="I64" s="83"/>
      <c r="J64" s="81"/>
      <c r="K64" s="81"/>
      <c r="L64" s="81"/>
      <c r="M64" s="107"/>
    </row>
    <row r="65" spans="1:14">
      <c r="A65" s="95">
        <v>53</v>
      </c>
      <c r="B65" s="96" t="s">
        <v>266</v>
      </c>
      <c r="C65" s="81">
        <f t="shared" si="4"/>
        <v>270</v>
      </c>
      <c r="D65" s="81"/>
      <c r="E65" s="81">
        <v>270</v>
      </c>
      <c r="F65" s="81">
        <v>270</v>
      </c>
      <c r="G65" s="81"/>
      <c r="H65" s="83"/>
      <c r="I65" s="83"/>
      <c r="J65" s="81"/>
      <c r="K65" s="81"/>
      <c r="L65" s="81"/>
      <c r="M65" s="107"/>
    </row>
    <row r="66" spans="1:14">
      <c r="A66" s="93" t="s">
        <v>267</v>
      </c>
      <c r="B66" s="94" t="s">
        <v>268</v>
      </c>
      <c r="C66" s="82">
        <f t="shared" si="4"/>
        <v>229061</v>
      </c>
      <c r="D66" s="82">
        <f>+D67+D68+D69</f>
        <v>0</v>
      </c>
      <c r="E66" s="82">
        <f t="shared" ref="E66:L66" si="6">+E67+E68+E69</f>
        <v>176226</v>
      </c>
      <c r="F66" s="82">
        <f>+F67+F68+F69</f>
        <v>229061</v>
      </c>
      <c r="G66" s="82">
        <f t="shared" si="6"/>
        <v>0</v>
      </c>
      <c r="H66" s="82">
        <f t="shared" si="6"/>
        <v>0</v>
      </c>
      <c r="I66" s="82">
        <f t="shared" si="6"/>
        <v>0</v>
      </c>
      <c r="J66" s="82">
        <f t="shared" si="6"/>
        <v>0</v>
      </c>
      <c r="K66" s="82">
        <f t="shared" si="6"/>
        <v>0</v>
      </c>
      <c r="L66" s="82">
        <f t="shared" si="6"/>
        <v>0</v>
      </c>
      <c r="M66" s="107"/>
    </row>
    <row r="67" spans="1:14">
      <c r="A67" s="95">
        <v>52</v>
      </c>
      <c r="B67" s="92" t="s">
        <v>269</v>
      </c>
      <c r="C67" s="81">
        <f t="shared" si="4"/>
        <v>89061</v>
      </c>
      <c r="D67" s="81"/>
      <c r="E67" s="81">
        <v>36226</v>
      </c>
      <c r="F67" s="81">
        <f>36226+4500+48335</f>
        <v>89061</v>
      </c>
      <c r="G67" s="81"/>
      <c r="H67" s="83"/>
      <c r="I67" s="83"/>
      <c r="J67" s="81"/>
      <c r="K67" s="81"/>
      <c r="L67" s="81"/>
      <c r="M67" s="107"/>
    </row>
    <row r="68" spans="1:14">
      <c r="A68" s="95">
        <v>54</v>
      </c>
      <c r="B68" s="92" t="s">
        <v>270</v>
      </c>
      <c r="C68" s="81">
        <f t="shared" si="4"/>
        <v>42000</v>
      </c>
      <c r="D68" s="81"/>
      <c r="E68" s="81">
        <v>42000</v>
      </c>
      <c r="F68" s="81">
        <v>42000</v>
      </c>
      <c r="G68" s="81"/>
      <c r="H68" s="83"/>
      <c r="I68" s="83"/>
      <c r="J68" s="81"/>
      <c r="K68" s="81"/>
      <c r="L68" s="81"/>
      <c r="M68" s="107"/>
    </row>
    <row r="69" spans="1:14">
      <c r="A69" s="95">
        <v>55</v>
      </c>
      <c r="B69" s="92" t="s">
        <v>271</v>
      </c>
      <c r="C69" s="81">
        <f t="shared" si="4"/>
        <v>98000</v>
      </c>
      <c r="D69" s="81"/>
      <c r="E69" s="81">
        <v>98000</v>
      </c>
      <c r="F69" s="81">
        <v>98000</v>
      </c>
      <c r="G69" s="81"/>
      <c r="H69" s="83"/>
      <c r="I69" s="83"/>
      <c r="J69" s="81"/>
      <c r="K69" s="81"/>
      <c r="L69" s="81"/>
      <c r="M69" s="107"/>
    </row>
    <row r="70" spans="1:14">
      <c r="A70" s="93" t="s">
        <v>272</v>
      </c>
      <c r="B70" s="94" t="s">
        <v>273</v>
      </c>
      <c r="C70" s="82">
        <f t="shared" si="4"/>
        <v>13115</v>
      </c>
      <c r="D70" s="82">
        <f>+D71+D72</f>
        <v>0</v>
      </c>
      <c r="E70" s="82">
        <f t="shared" ref="E70:L70" si="7">+E71+E72</f>
        <v>13115</v>
      </c>
      <c r="F70" s="82">
        <f t="shared" si="7"/>
        <v>13115</v>
      </c>
      <c r="G70" s="82">
        <f t="shared" si="7"/>
        <v>0</v>
      </c>
      <c r="H70" s="82">
        <f t="shared" si="7"/>
        <v>0</v>
      </c>
      <c r="I70" s="82">
        <f t="shared" si="7"/>
        <v>0</v>
      </c>
      <c r="J70" s="82">
        <f t="shared" si="7"/>
        <v>0</v>
      </c>
      <c r="K70" s="82">
        <f t="shared" si="7"/>
        <v>0</v>
      </c>
      <c r="L70" s="82">
        <f t="shared" si="7"/>
        <v>0</v>
      </c>
      <c r="M70" s="107"/>
    </row>
    <row r="71" spans="1:14">
      <c r="A71" s="95">
        <v>56</v>
      </c>
      <c r="B71" s="92" t="s">
        <v>274</v>
      </c>
      <c r="C71" s="81">
        <f t="shared" si="4"/>
        <v>11101</v>
      </c>
      <c r="D71" s="81"/>
      <c r="E71" s="81">
        <v>11101</v>
      </c>
      <c r="F71" s="81">
        <v>11101</v>
      </c>
      <c r="G71" s="81"/>
      <c r="H71" s="83"/>
      <c r="I71" s="83"/>
      <c r="J71" s="81"/>
      <c r="K71" s="81"/>
      <c r="L71" s="81"/>
      <c r="M71" s="107"/>
    </row>
    <row r="72" spans="1:14">
      <c r="A72" s="95">
        <v>57</v>
      </c>
      <c r="B72" s="92" t="s">
        <v>275</v>
      </c>
      <c r="C72" s="81">
        <f t="shared" si="4"/>
        <v>2014</v>
      </c>
      <c r="D72" s="81"/>
      <c r="E72" s="81">
        <v>2014</v>
      </c>
      <c r="F72" s="81">
        <v>2014</v>
      </c>
      <c r="G72" s="81"/>
      <c r="H72" s="83"/>
      <c r="I72" s="83"/>
      <c r="J72" s="81"/>
      <c r="K72" s="81"/>
      <c r="L72" s="81"/>
      <c r="M72" s="107"/>
    </row>
    <row r="73" spans="1:14">
      <c r="A73" s="93" t="s">
        <v>276</v>
      </c>
      <c r="B73" s="94" t="s">
        <v>277</v>
      </c>
      <c r="C73" s="82">
        <f t="shared" si="4"/>
        <v>818637</v>
      </c>
      <c r="D73" s="82">
        <f t="shared" ref="D73:L73" si="8">SUM(D74:D78)</f>
        <v>0</v>
      </c>
      <c r="E73" s="82">
        <f>SUM(E74:E78)</f>
        <v>746724</v>
      </c>
      <c r="F73" s="82">
        <f t="shared" ref="F73" si="9">SUM(F74:F78)</f>
        <v>746724</v>
      </c>
      <c r="G73" s="82">
        <f t="shared" si="8"/>
        <v>0</v>
      </c>
      <c r="H73" s="82">
        <f t="shared" si="8"/>
        <v>0</v>
      </c>
      <c r="I73" s="82">
        <f t="shared" si="8"/>
        <v>0</v>
      </c>
      <c r="J73" s="82">
        <f>SUM(J74:J78)</f>
        <v>71913</v>
      </c>
      <c r="K73" s="82">
        <f t="shared" si="8"/>
        <v>0</v>
      </c>
      <c r="L73" s="82">
        <f t="shared" si="8"/>
        <v>71913</v>
      </c>
      <c r="M73" s="107"/>
    </row>
    <row r="74" spans="1:14">
      <c r="A74" s="95">
        <v>58</v>
      </c>
      <c r="B74" s="92" t="s">
        <v>278</v>
      </c>
      <c r="C74" s="81">
        <f t="shared" si="4"/>
        <v>117034</v>
      </c>
      <c r="D74" s="81"/>
      <c r="E74" s="81">
        <v>117034</v>
      </c>
      <c r="F74" s="81">
        <v>117034</v>
      </c>
      <c r="G74" s="81"/>
      <c r="H74" s="83"/>
      <c r="I74" s="83"/>
      <c r="J74" s="81"/>
      <c r="K74" s="81"/>
      <c r="L74" s="81"/>
      <c r="M74" s="107"/>
    </row>
    <row r="75" spans="1:14">
      <c r="A75" s="95">
        <v>59</v>
      </c>
      <c r="B75" s="92" t="s">
        <v>279</v>
      </c>
      <c r="C75" s="81">
        <f t="shared" si="4"/>
        <v>103632</v>
      </c>
      <c r="D75" s="81"/>
      <c r="E75" s="81">
        <v>103632</v>
      </c>
      <c r="F75" s="81">
        <v>103632</v>
      </c>
      <c r="G75" s="81"/>
      <c r="H75" s="83"/>
      <c r="I75" s="83"/>
      <c r="J75" s="81"/>
      <c r="K75" s="81"/>
      <c r="L75" s="81"/>
      <c r="M75" s="107"/>
    </row>
    <row r="76" spans="1:14">
      <c r="A76" s="95">
        <v>60</v>
      </c>
      <c r="B76" s="97" t="s">
        <v>280</v>
      </c>
      <c r="C76" s="81">
        <f t="shared" si="4"/>
        <v>13507</v>
      </c>
      <c r="D76" s="81"/>
      <c r="E76" s="81">
        <v>13507</v>
      </c>
      <c r="F76" s="81">
        <v>13507</v>
      </c>
      <c r="G76" s="81"/>
      <c r="H76" s="83"/>
      <c r="I76" s="83"/>
      <c r="J76" s="81"/>
      <c r="K76" s="81"/>
      <c r="L76" s="81"/>
      <c r="M76" s="107"/>
    </row>
    <row r="77" spans="1:14">
      <c r="A77" s="95">
        <v>61</v>
      </c>
      <c r="B77" s="92" t="s">
        <v>281</v>
      </c>
      <c r="C77" s="81">
        <f t="shared" ref="C77:C101" si="10">SUM(D77:J77)-E77</f>
        <v>512551</v>
      </c>
      <c r="D77" s="81"/>
      <c r="E77" s="81">
        <v>512551</v>
      </c>
      <c r="F77" s="81">
        <v>512551</v>
      </c>
      <c r="G77" s="81"/>
      <c r="H77" s="83"/>
      <c r="I77" s="83"/>
      <c r="J77" s="81"/>
      <c r="K77" s="81"/>
      <c r="L77" s="81"/>
      <c r="M77" s="107"/>
    </row>
    <row r="78" spans="1:14">
      <c r="A78" s="95">
        <v>62</v>
      </c>
      <c r="B78" s="92" t="s">
        <v>282</v>
      </c>
      <c r="C78" s="81">
        <f t="shared" si="10"/>
        <v>71913</v>
      </c>
      <c r="D78" s="81"/>
      <c r="E78" s="81"/>
      <c r="F78" s="81"/>
      <c r="G78" s="81"/>
      <c r="H78" s="83"/>
      <c r="I78" s="83"/>
      <c r="J78" s="84">
        <f>+K78+L78</f>
        <v>71913</v>
      </c>
      <c r="K78" s="81"/>
      <c r="L78" s="81">
        <f>SUM(L79:L82)</f>
        <v>71913</v>
      </c>
      <c r="M78" s="107"/>
    </row>
    <row r="79" spans="1:14">
      <c r="A79" s="98"/>
      <c r="B79" s="112" t="s">
        <v>283</v>
      </c>
      <c r="C79" s="81">
        <f t="shared" si="10"/>
        <v>52581</v>
      </c>
      <c r="D79" s="99"/>
      <c r="E79" s="99"/>
      <c r="F79" s="99"/>
      <c r="G79" s="99"/>
      <c r="H79" s="99"/>
      <c r="I79" s="99"/>
      <c r="J79" s="84">
        <f t="shared" ref="J79:J82" si="11">+K79+L79</f>
        <v>52581</v>
      </c>
      <c r="K79" s="99"/>
      <c r="L79" s="84">
        <v>52581</v>
      </c>
      <c r="M79" s="107"/>
      <c r="N79" s="107"/>
    </row>
    <row r="80" spans="1:14">
      <c r="A80" s="98"/>
      <c r="B80" s="112" t="s">
        <v>284</v>
      </c>
      <c r="C80" s="81">
        <f t="shared" si="10"/>
        <v>12497</v>
      </c>
      <c r="D80" s="99"/>
      <c r="E80" s="99"/>
      <c r="F80" s="99"/>
      <c r="G80" s="99"/>
      <c r="H80" s="99"/>
      <c r="I80" s="99"/>
      <c r="J80" s="84">
        <f t="shared" si="11"/>
        <v>12497</v>
      </c>
      <c r="K80" s="99"/>
      <c r="L80" s="99">
        <v>12497</v>
      </c>
      <c r="M80" s="107"/>
      <c r="N80" s="107"/>
    </row>
    <row r="81" spans="1:14" ht="31.2">
      <c r="A81" s="98"/>
      <c r="B81" s="113" t="s">
        <v>285</v>
      </c>
      <c r="C81" s="81">
        <f t="shared" si="10"/>
        <v>3854</v>
      </c>
      <c r="D81" s="99"/>
      <c r="E81" s="99"/>
      <c r="F81" s="99"/>
      <c r="G81" s="99"/>
      <c r="H81" s="99"/>
      <c r="I81" s="99"/>
      <c r="J81" s="84">
        <f t="shared" si="11"/>
        <v>3854</v>
      </c>
      <c r="K81" s="99"/>
      <c r="L81" s="99">
        <v>3854</v>
      </c>
      <c r="M81" s="107"/>
      <c r="N81" s="107"/>
    </row>
    <row r="82" spans="1:14">
      <c r="A82" s="98"/>
      <c r="B82" s="113" t="s">
        <v>286</v>
      </c>
      <c r="C82" s="81">
        <f t="shared" si="10"/>
        <v>2981</v>
      </c>
      <c r="D82" s="99"/>
      <c r="E82" s="99"/>
      <c r="F82" s="99"/>
      <c r="G82" s="99"/>
      <c r="H82" s="99"/>
      <c r="I82" s="99"/>
      <c r="J82" s="84">
        <f t="shared" si="11"/>
        <v>2981</v>
      </c>
      <c r="K82" s="99"/>
      <c r="L82" s="99">
        <v>2981</v>
      </c>
      <c r="M82" s="107"/>
      <c r="N82" s="107"/>
    </row>
    <row r="83" spans="1:14" ht="31.2">
      <c r="A83" s="114" t="s">
        <v>6</v>
      </c>
      <c r="B83" s="115" t="s">
        <v>287</v>
      </c>
      <c r="C83" s="80">
        <f t="shared" si="10"/>
        <v>8500</v>
      </c>
      <c r="D83" s="80"/>
      <c r="E83" s="80"/>
      <c r="F83" s="80"/>
      <c r="G83" s="80">
        <v>8500</v>
      </c>
      <c r="H83" s="80"/>
      <c r="I83" s="80"/>
      <c r="J83" s="80"/>
      <c r="K83" s="80"/>
      <c r="L83" s="80"/>
      <c r="M83" s="107"/>
    </row>
    <row r="84" spans="1:14">
      <c r="A84" s="114" t="s">
        <v>7</v>
      </c>
      <c r="B84" s="115" t="s">
        <v>288</v>
      </c>
      <c r="C84" s="80">
        <f t="shared" si="10"/>
        <v>1170</v>
      </c>
      <c r="D84" s="80"/>
      <c r="E84" s="80"/>
      <c r="F84" s="80"/>
      <c r="G84" s="80"/>
      <c r="H84" s="80">
        <v>1170</v>
      </c>
      <c r="I84" s="80"/>
      <c r="J84" s="80"/>
      <c r="K84" s="80"/>
      <c r="L84" s="80"/>
      <c r="M84" s="107"/>
    </row>
    <row r="85" spans="1:14" ht="18.75" customHeight="1">
      <c r="A85" s="114" t="s">
        <v>8</v>
      </c>
      <c r="B85" s="115" t="s">
        <v>289</v>
      </c>
      <c r="C85" s="80">
        <f t="shared" si="10"/>
        <v>259562</v>
      </c>
      <c r="D85" s="80"/>
      <c r="E85" s="80"/>
      <c r="F85" s="80"/>
      <c r="G85" s="80"/>
      <c r="H85" s="80"/>
      <c r="I85" s="80">
        <v>259562</v>
      </c>
      <c r="J85" s="80"/>
      <c r="K85" s="80"/>
      <c r="L85" s="80"/>
      <c r="M85" s="107"/>
    </row>
    <row r="86" spans="1:14" ht="18.75" customHeight="1">
      <c r="A86" s="114" t="s">
        <v>12</v>
      </c>
      <c r="B86" s="115" t="s">
        <v>290</v>
      </c>
      <c r="C86" s="80">
        <f t="shared" si="10"/>
        <v>5069611</v>
      </c>
      <c r="D86" s="80">
        <f t="shared" ref="D86:L86" si="12">+D87+D90+D101</f>
        <v>4080469</v>
      </c>
      <c r="E86" s="80">
        <f t="shared" si="12"/>
        <v>264843</v>
      </c>
      <c r="F86" s="80">
        <f t="shared" si="12"/>
        <v>637035</v>
      </c>
      <c r="G86" s="80">
        <f t="shared" si="12"/>
        <v>0</v>
      </c>
      <c r="H86" s="80">
        <f t="shared" si="12"/>
        <v>0</v>
      </c>
      <c r="I86" s="80">
        <f t="shared" si="12"/>
        <v>0</v>
      </c>
      <c r="J86" s="80">
        <f t="shared" si="12"/>
        <v>352107</v>
      </c>
      <c r="K86" s="80">
        <f t="shared" si="12"/>
        <v>299526</v>
      </c>
      <c r="L86" s="80">
        <f t="shared" si="12"/>
        <v>52581</v>
      </c>
      <c r="M86" s="107"/>
    </row>
    <row r="87" spans="1:14" ht="18.75" customHeight="1">
      <c r="A87" s="116">
        <v>1</v>
      </c>
      <c r="B87" s="117" t="s">
        <v>291</v>
      </c>
      <c r="C87" s="83">
        <f t="shared" si="10"/>
        <v>4080469</v>
      </c>
      <c r="D87" s="83">
        <f>+D88+D89</f>
        <v>4080469</v>
      </c>
      <c r="E87" s="83"/>
      <c r="F87" s="83"/>
      <c r="G87" s="83"/>
      <c r="H87" s="83"/>
      <c r="I87" s="83"/>
      <c r="J87" s="83"/>
      <c r="K87" s="83"/>
      <c r="L87" s="83"/>
      <c r="M87" s="107"/>
    </row>
    <row r="88" spans="1:14" ht="18.75" customHeight="1">
      <c r="A88" s="116"/>
      <c r="B88" s="117" t="s">
        <v>292</v>
      </c>
      <c r="C88" s="83">
        <f t="shared" si="10"/>
        <v>60002</v>
      </c>
      <c r="D88" s="83">
        <v>60002</v>
      </c>
      <c r="E88" s="83"/>
      <c r="F88" s="83"/>
      <c r="G88" s="83"/>
      <c r="H88" s="83"/>
      <c r="I88" s="83"/>
      <c r="J88" s="83"/>
      <c r="K88" s="83"/>
      <c r="L88" s="83"/>
      <c r="M88" s="107"/>
    </row>
    <row r="89" spans="1:14">
      <c r="A89" s="116"/>
      <c r="B89" s="92" t="s">
        <v>293</v>
      </c>
      <c r="C89" s="81">
        <f t="shared" si="10"/>
        <v>4020467</v>
      </c>
      <c r="D89" s="81">
        <v>4020467</v>
      </c>
      <c r="E89" s="81"/>
      <c r="F89" s="81"/>
      <c r="G89" s="81"/>
      <c r="H89" s="83"/>
      <c r="I89" s="83"/>
      <c r="J89" s="81"/>
      <c r="K89" s="81"/>
      <c r="L89" s="81"/>
      <c r="M89" s="107"/>
    </row>
    <row r="90" spans="1:14">
      <c r="A90" s="116">
        <v>2</v>
      </c>
      <c r="B90" s="92" t="s">
        <v>11</v>
      </c>
      <c r="C90" s="81">
        <f t="shared" si="10"/>
        <v>637035</v>
      </c>
      <c r="D90" s="81">
        <f>+D91+D92</f>
        <v>0</v>
      </c>
      <c r="E90" s="81">
        <f t="shared" ref="E90:L90" si="13">+E91+E92</f>
        <v>264843</v>
      </c>
      <c r="F90" s="81">
        <f t="shared" si="13"/>
        <v>637035</v>
      </c>
      <c r="G90" s="81">
        <f t="shared" si="13"/>
        <v>0</v>
      </c>
      <c r="H90" s="81">
        <f t="shared" si="13"/>
        <v>0</v>
      </c>
      <c r="I90" s="81">
        <f t="shared" si="13"/>
        <v>0</v>
      </c>
      <c r="J90" s="81">
        <f t="shared" si="13"/>
        <v>0</v>
      </c>
      <c r="K90" s="81">
        <f t="shared" si="13"/>
        <v>0</v>
      </c>
      <c r="L90" s="81">
        <f t="shared" si="13"/>
        <v>0</v>
      </c>
      <c r="M90" s="107"/>
    </row>
    <row r="91" spans="1:14">
      <c r="A91" s="116"/>
      <c r="B91" s="117" t="s">
        <v>292</v>
      </c>
      <c r="C91" s="81">
        <f t="shared" si="10"/>
        <v>0</v>
      </c>
      <c r="D91" s="81"/>
      <c r="E91" s="81"/>
      <c r="F91" s="81"/>
      <c r="G91" s="81"/>
      <c r="H91" s="83"/>
      <c r="I91" s="83"/>
      <c r="J91" s="81"/>
      <c r="K91" s="81"/>
      <c r="L91" s="81"/>
      <c r="M91" s="107"/>
    </row>
    <row r="92" spans="1:14">
      <c r="A92" s="116"/>
      <c r="B92" s="92" t="s">
        <v>293</v>
      </c>
      <c r="C92" s="81">
        <f t="shared" si="10"/>
        <v>637035</v>
      </c>
      <c r="D92" s="81">
        <f t="shared" ref="D92:L92" si="14">SUM(D93:D100)</f>
        <v>0</v>
      </c>
      <c r="E92" s="81">
        <f t="shared" si="14"/>
        <v>264843</v>
      </c>
      <c r="F92" s="81">
        <f t="shared" ref="F92" si="15">SUM(F93:F100)</f>
        <v>637035</v>
      </c>
      <c r="G92" s="81">
        <f t="shared" si="14"/>
        <v>0</v>
      </c>
      <c r="H92" s="81">
        <f t="shared" si="14"/>
        <v>0</v>
      </c>
      <c r="I92" s="81">
        <f t="shared" si="14"/>
        <v>0</v>
      </c>
      <c r="J92" s="81">
        <f t="shared" si="14"/>
        <v>0</v>
      </c>
      <c r="K92" s="81">
        <f t="shared" si="14"/>
        <v>0</v>
      </c>
      <c r="L92" s="81">
        <f t="shared" si="14"/>
        <v>0</v>
      </c>
      <c r="M92" s="107"/>
    </row>
    <row r="93" spans="1:14">
      <c r="A93" s="95"/>
      <c r="B93" s="118" t="s">
        <v>294</v>
      </c>
      <c r="C93" s="84">
        <f t="shared" si="10"/>
        <v>528</v>
      </c>
      <c r="D93" s="84"/>
      <c r="E93" s="84">
        <v>528</v>
      </c>
      <c r="F93" s="84">
        <v>528</v>
      </c>
      <c r="G93" s="84"/>
      <c r="H93" s="84"/>
      <c r="I93" s="84"/>
      <c r="J93" s="84"/>
      <c r="K93" s="84"/>
      <c r="L93" s="84"/>
      <c r="M93" s="107"/>
    </row>
    <row r="94" spans="1:14">
      <c r="A94" s="95"/>
      <c r="B94" s="118" t="s">
        <v>295</v>
      </c>
      <c r="C94" s="84">
        <f t="shared" si="10"/>
        <v>160</v>
      </c>
      <c r="D94" s="84"/>
      <c r="E94" s="84">
        <v>160</v>
      </c>
      <c r="F94" s="84">
        <v>160</v>
      </c>
      <c r="G94" s="84"/>
      <c r="H94" s="84"/>
      <c r="I94" s="84"/>
      <c r="J94" s="84"/>
      <c r="K94" s="84"/>
      <c r="L94" s="84"/>
      <c r="M94" s="107"/>
    </row>
    <row r="95" spans="1:14">
      <c r="A95" s="95"/>
      <c r="B95" s="118" t="s">
        <v>296</v>
      </c>
      <c r="C95" s="84">
        <f t="shared" si="10"/>
        <v>429107</v>
      </c>
      <c r="D95" s="84"/>
      <c r="E95" s="84">
        <v>59115</v>
      </c>
      <c r="F95" s="84">
        <v>429107</v>
      </c>
      <c r="G95" s="84"/>
      <c r="H95" s="84"/>
      <c r="I95" s="84"/>
      <c r="J95" s="84"/>
      <c r="K95" s="84"/>
      <c r="L95" s="84"/>
      <c r="M95" s="107"/>
    </row>
    <row r="96" spans="1:14">
      <c r="A96" s="95"/>
      <c r="B96" s="118" t="s">
        <v>297</v>
      </c>
      <c r="C96" s="84">
        <f t="shared" si="10"/>
        <v>119099</v>
      </c>
      <c r="D96" s="84"/>
      <c r="E96" s="84">
        <v>119099</v>
      </c>
      <c r="F96" s="84">
        <v>119099</v>
      </c>
      <c r="G96" s="84"/>
      <c r="H96" s="84"/>
      <c r="I96" s="84"/>
      <c r="J96" s="84"/>
      <c r="K96" s="84"/>
      <c r="L96" s="84"/>
      <c r="M96" s="107"/>
    </row>
    <row r="97" spans="1:14">
      <c r="A97" s="95"/>
      <c r="B97" s="118" t="s">
        <v>298</v>
      </c>
      <c r="C97" s="84">
        <f t="shared" si="10"/>
        <v>16119</v>
      </c>
      <c r="D97" s="84"/>
      <c r="E97" s="84">
        <v>13919</v>
      </c>
      <c r="F97" s="84">
        <v>16119</v>
      </c>
      <c r="G97" s="84"/>
      <c r="H97" s="84"/>
      <c r="I97" s="84"/>
      <c r="J97" s="84"/>
      <c r="K97" s="84"/>
      <c r="L97" s="84"/>
      <c r="M97" s="107"/>
    </row>
    <row r="98" spans="1:14">
      <c r="A98" s="95"/>
      <c r="B98" s="118" t="s">
        <v>299</v>
      </c>
      <c r="C98" s="84">
        <f t="shared" si="10"/>
        <v>1711</v>
      </c>
      <c r="D98" s="84"/>
      <c r="E98" s="84">
        <v>1711</v>
      </c>
      <c r="F98" s="84">
        <v>1711</v>
      </c>
      <c r="G98" s="84"/>
      <c r="H98" s="84"/>
      <c r="I98" s="84"/>
      <c r="J98" s="84"/>
      <c r="K98" s="84"/>
      <c r="L98" s="84"/>
      <c r="M98" s="107"/>
    </row>
    <row r="99" spans="1:14">
      <c r="A99" s="95"/>
      <c r="B99" s="118" t="s">
        <v>300</v>
      </c>
      <c r="C99" s="84">
        <f t="shared" si="10"/>
        <v>1410</v>
      </c>
      <c r="D99" s="84"/>
      <c r="E99" s="84">
        <v>1410</v>
      </c>
      <c r="F99" s="84">
        <v>1410</v>
      </c>
      <c r="G99" s="84"/>
      <c r="H99" s="84"/>
      <c r="I99" s="84"/>
      <c r="J99" s="84"/>
      <c r="K99" s="84"/>
      <c r="L99" s="84"/>
      <c r="M99" s="107"/>
    </row>
    <row r="100" spans="1:14">
      <c r="A100" s="95"/>
      <c r="B100" s="118" t="s">
        <v>301</v>
      </c>
      <c r="C100" s="84">
        <f t="shared" si="10"/>
        <v>68901</v>
      </c>
      <c r="D100" s="84"/>
      <c r="E100" s="84">
        <v>68901</v>
      </c>
      <c r="F100" s="84">
        <v>68901</v>
      </c>
      <c r="G100" s="84"/>
      <c r="H100" s="84"/>
      <c r="I100" s="84"/>
      <c r="J100" s="84"/>
      <c r="K100" s="84"/>
      <c r="L100" s="84"/>
      <c r="M100" s="107"/>
    </row>
    <row r="101" spans="1:14">
      <c r="A101" s="95">
        <v>3</v>
      </c>
      <c r="B101" s="118" t="s">
        <v>302</v>
      </c>
      <c r="C101" s="84">
        <f t="shared" si="10"/>
        <v>352107</v>
      </c>
      <c r="D101" s="84"/>
      <c r="E101" s="84"/>
      <c r="F101" s="84"/>
      <c r="G101" s="84"/>
      <c r="H101" s="84"/>
      <c r="I101" s="84"/>
      <c r="J101" s="84">
        <f>+K101+L101</f>
        <v>352107</v>
      </c>
      <c r="K101" s="84">
        <v>299526</v>
      </c>
      <c r="L101" s="84">
        <v>52581</v>
      </c>
      <c r="M101" s="107"/>
      <c r="N101" s="107"/>
    </row>
    <row r="102" spans="1:14">
      <c r="A102" s="119"/>
      <c r="B102" s="120"/>
      <c r="C102" s="85">
        <f>SUM(D102:J102)</f>
        <v>0</v>
      </c>
      <c r="D102" s="85"/>
      <c r="E102" s="85"/>
      <c r="F102" s="85"/>
      <c r="G102" s="85"/>
      <c r="H102" s="85"/>
      <c r="I102" s="85"/>
      <c r="J102" s="85"/>
      <c r="K102" s="85"/>
      <c r="L102" s="85"/>
      <c r="M102" s="107"/>
    </row>
    <row r="103" spans="1:14" ht="37.5" customHeight="1">
      <c r="B103" s="188" t="s">
        <v>98</v>
      </c>
      <c r="C103" s="188"/>
      <c r="D103" s="188"/>
      <c r="E103" s="188"/>
      <c r="F103" s="188"/>
      <c r="G103" s="188"/>
      <c r="H103" s="188"/>
      <c r="I103" s="188"/>
      <c r="J103" s="188"/>
      <c r="K103" s="188"/>
      <c r="L103" s="188"/>
    </row>
  </sheetData>
  <mergeCells count="15">
    <mergeCell ref="A1:L1"/>
    <mergeCell ref="A2:L2"/>
    <mergeCell ref="A3:L3"/>
    <mergeCell ref="K4:L4"/>
    <mergeCell ref="A5:A6"/>
    <mergeCell ref="B5:B6"/>
    <mergeCell ref="C5:C6"/>
    <mergeCell ref="D5:D6"/>
    <mergeCell ref="E5:E6"/>
    <mergeCell ref="F5:F6"/>
    <mergeCell ref="G5:G6"/>
    <mergeCell ref="H5:H6"/>
    <mergeCell ref="I5:I6"/>
    <mergeCell ref="J5:L5"/>
    <mergeCell ref="B103:L103"/>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workbookViewId="0">
      <pane xSplit="2" ySplit="11" topLeftCell="C42" activePane="bottomRight" state="frozen"/>
      <selection pane="topRight" activeCell="C1" sqref="C1"/>
      <selection pane="bottomLeft" activeCell="A12" sqref="A12"/>
      <selection pane="bottomRight" activeCell="C12" sqref="C12"/>
    </sheetView>
  </sheetViews>
  <sheetFormatPr defaultColWidth="9.109375" defaultRowHeight="13.8"/>
  <cols>
    <col min="1" max="1" width="6" style="164" customWidth="1"/>
    <col min="2" max="2" width="64.44140625" style="134" bestFit="1" customWidth="1"/>
    <col min="3" max="3" width="11.5546875" style="134" bestFit="1" customWidth="1"/>
    <col min="4" max="4" width="11.88671875" style="134" customWidth="1"/>
    <col min="5" max="5" width="8.44140625" style="134" customWidth="1"/>
    <col min="6" max="6" width="10.5546875" style="134" customWidth="1"/>
    <col min="7" max="7" width="12.6640625" style="134" customWidth="1"/>
    <col min="8" max="8" width="12.109375" style="134" customWidth="1"/>
    <col min="9" max="9" width="10.44140625" style="134" customWidth="1"/>
    <col min="10" max="10" width="12.109375" style="134" bestFit="1" customWidth="1"/>
    <col min="11" max="11" width="13.33203125" style="134" bestFit="1" customWidth="1"/>
    <col min="12" max="12" width="9.44140625" style="134" bestFit="1" customWidth="1"/>
    <col min="13" max="13" width="11" style="134" customWidth="1"/>
    <col min="14" max="14" width="9.33203125" style="134" bestFit="1" customWidth="1"/>
    <col min="15" max="15" width="10" style="134" customWidth="1"/>
    <col min="16" max="16" width="9.33203125" style="134" bestFit="1" customWidth="1"/>
    <col min="17" max="17" width="12.33203125" style="134" customWidth="1"/>
    <col min="18" max="18" width="11.5546875" style="134" customWidth="1"/>
    <col min="19" max="19" width="10.44140625" style="134" bestFit="1" customWidth="1"/>
    <col min="20" max="20" width="11.44140625" style="165" bestFit="1" customWidth="1"/>
    <col min="21" max="16384" width="9.109375" style="134"/>
  </cols>
  <sheetData>
    <row r="1" spans="1:22" ht="16.8">
      <c r="A1" s="189" t="s">
        <v>304</v>
      </c>
      <c r="B1" s="189"/>
      <c r="C1" s="189"/>
      <c r="D1" s="189"/>
      <c r="E1" s="189"/>
      <c r="F1" s="189"/>
      <c r="G1" s="189"/>
      <c r="H1" s="189"/>
      <c r="I1" s="189"/>
      <c r="J1" s="189"/>
      <c r="K1" s="189"/>
      <c r="L1" s="189"/>
      <c r="M1" s="189"/>
      <c r="N1" s="189"/>
      <c r="O1" s="189"/>
      <c r="P1" s="189"/>
      <c r="Q1" s="189"/>
      <c r="R1" s="189"/>
      <c r="S1" s="189"/>
      <c r="T1" s="189"/>
    </row>
    <row r="2" spans="1:22" ht="16.5" customHeight="1">
      <c r="A2" s="190" t="s">
        <v>305</v>
      </c>
      <c r="B2" s="190"/>
      <c r="C2" s="190"/>
      <c r="D2" s="190"/>
      <c r="E2" s="190"/>
      <c r="F2" s="190"/>
      <c r="G2" s="190"/>
      <c r="H2" s="190"/>
      <c r="I2" s="190"/>
      <c r="J2" s="190"/>
      <c r="K2" s="190"/>
      <c r="L2" s="190"/>
      <c r="M2" s="190"/>
      <c r="N2" s="190"/>
      <c r="O2" s="190"/>
      <c r="P2" s="190"/>
      <c r="Q2" s="190"/>
      <c r="R2" s="190"/>
      <c r="S2" s="190"/>
      <c r="T2" s="190"/>
    </row>
    <row r="3" spans="1:22" ht="15.75" customHeight="1">
      <c r="A3" s="191" t="s">
        <v>177</v>
      </c>
      <c r="B3" s="191"/>
      <c r="C3" s="191"/>
      <c r="D3" s="191"/>
      <c r="E3" s="191"/>
      <c r="F3" s="191"/>
      <c r="G3" s="191"/>
      <c r="H3" s="191"/>
      <c r="I3" s="191"/>
      <c r="J3" s="191"/>
      <c r="K3" s="191"/>
      <c r="L3" s="191"/>
      <c r="M3" s="191"/>
      <c r="N3" s="191"/>
      <c r="O3" s="191"/>
      <c r="P3" s="191"/>
      <c r="Q3" s="191"/>
      <c r="R3" s="191"/>
      <c r="S3" s="191"/>
      <c r="T3" s="191"/>
    </row>
    <row r="4" spans="1:22" ht="15.75" hidden="1" customHeight="1">
      <c r="A4" s="135"/>
      <c r="B4" s="135"/>
      <c r="C4" s="135">
        <v>1910502</v>
      </c>
      <c r="D4" s="136">
        <f>+D6-D13</f>
        <v>0.39999999990686774</v>
      </c>
      <c r="E4" s="136">
        <f t="shared" ref="E4:M4" si="0">+E6-E13</f>
        <v>0</v>
      </c>
      <c r="F4" s="136">
        <f>+F6-F13</f>
        <v>45642</v>
      </c>
      <c r="G4" s="136">
        <f t="shared" si="0"/>
        <v>-36226</v>
      </c>
      <c r="H4" s="136">
        <f t="shared" si="0"/>
        <v>0</v>
      </c>
      <c r="I4" s="136">
        <f t="shared" si="0"/>
        <v>0.29999999998835847</v>
      </c>
      <c r="J4" s="136">
        <f t="shared" si="0"/>
        <v>0</v>
      </c>
      <c r="K4" s="136">
        <f t="shared" si="0"/>
        <v>0.29999999998835847</v>
      </c>
      <c r="L4" s="136">
        <f t="shared" si="0"/>
        <v>0</v>
      </c>
      <c r="M4" s="136">
        <f t="shared" si="0"/>
        <v>0.19999999995343387</v>
      </c>
      <c r="N4" s="135"/>
      <c r="O4" s="135"/>
      <c r="P4" s="135"/>
      <c r="Q4" s="136">
        <f>+Q5-Q13</f>
        <v>0</v>
      </c>
      <c r="R4" s="136">
        <f>+R5-R13</f>
        <v>0.30000000004656613</v>
      </c>
      <c r="S4" s="136">
        <f>+S5+S6-S13</f>
        <v>-9415.6999999999534</v>
      </c>
      <c r="T4" s="136">
        <f>+T5+T6-T13</f>
        <v>-71913</v>
      </c>
    </row>
    <row r="5" spans="1:22" ht="15.75" hidden="1" customHeight="1">
      <c r="A5" s="135"/>
      <c r="B5" s="135"/>
      <c r="C5" s="136">
        <f>+C6-C7</f>
        <v>7000293</v>
      </c>
      <c r="D5" s="135"/>
      <c r="E5" s="135"/>
      <c r="F5" s="135"/>
      <c r="G5" s="135"/>
      <c r="H5" s="135"/>
      <c r="I5" s="135"/>
      <c r="J5" s="135"/>
      <c r="K5" s="135"/>
      <c r="L5" s="135"/>
      <c r="M5" s="135"/>
      <c r="N5" s="135"/>
      <c r="O5" s="135"/>
      <c r="P5" s="135"/>
      <c r="Q5" s="135">
        <v>1141329</v>
      </c>
      <c r="R5" s="135">
        <v>862941</v>
      </c>
      <c r="S5" s="135">
        <v>30000</v>
      </c>
      <c r="T5" s="135"/>
    </row>
    <row r="6" spans="1:22" s="138" customFormat="1" ht="15.75" hidden="1" customHeight="1">
      <c r="A6" s="137"/>
      <c r="B6" s="137"/>
      <c r="C6" s="137">
        <v>7000293</v>
      </c>
      <c r="D6" s="137">
        <v>1203232</v>
      </c>
      <c r="E6" s="137">
        <v>43030</v>
      </c>
      <c r="F6" s="137">
        <v>185642</v>
      </c>
      <c r="G6" s="137">
        <v>0</v>
      </c>
      <c r="H6" s="137">
        <v>1136381</v>
      </c>
      <c r="I6" s="137">
        <v>188214</v>
      </c>
      <c r="J6" s="137">
        <v>29519</v>
      </c>
      <c r="K6" s="137">
        <v>135463</v>
      </c>
      <c r="L6" s="137">
        <v>20925</v>
      </c>
      <c r="M6" s="137">
        <v>759909</v>
      </c>
      <c r="N6" s="137"/>
      <c r="O6" s="137"/>
      <c r="P6" s="137"/>
      <c r="Q6" s="137">
        <f>+R6-S13</f>
        <v>-9415.6999999999534</v>
      </c>
      <c r="R6" s="137">
        <f>+S5+S6</f>
        <v>532181</v>
      </c>
      <c r="S6" s="137">
        <v>502181</v>
      </c>
      <c r="T6" s="137"/>
    </row>
    <row r="7" spans="1:22" ht="15.75" customHeight="1">
      <c r="A7" s="139"/>
      <c r="B7" s="140"/>
      <c r="C7" s="141"/>
      <c r="D7" s="142"/>
      <c r="E7" s="142"/>
      <c r="F7" s="142"/>
      <c r="G7" s="141"/>
      <c r="H7" s="141"/>
      <c r="I7" s="141"/>
      <c r="J7" s="143"/>
      <c r="K7" s="144"/>
      <c r="L7" s="144"/>
      <c r="M7" s="144"/>
      <c r="N7" s="145"/>
      <c r="O7" s="146"/>
      <c r="P7" s="146"/>
      <c r="Q7" s="147"/>
      <c r="R7" s="200" t="s">
        <v>5</v>
      </c>
      <c r="S7" s="200"/>
      <c r="T7" s="200"/>
    </row>
    <row r="8" spans="1:22" ht="18.75" customHeight="1">
      <c r="A8" s="201" t="s">
        <v>0</v>
      </c>
      <c r="B8" s="201" t="s">
        <v>306</v>
      </c>
      <c r="C8" s="203" t="s">
        <v>307</v>
      </c>
      <c r="D8" s="193" t="s">
        <v>308</v>
      </c>
      <c r="E8" s="193" t="s">
        <v>309</v>
      </c>
      <c r="F8" s="193" t="s">
        <v>310</v>
      </c>
      <c r="G8" s="193" t="s">
        <v>311</v>
      </c>
      <c r="H8" s="193" t="s">
        <v>312</v>
      </c>
      <c r="I8" s="193" t="s">
        <v>48</v>
      </c>
      <c r="J8" s="193" t="s">
        <v>313</v>
      </c>
      <c r="K8" s="193" t="s">
        <v>50</v>
      </c>
      <c r="L8" s="193" t="s">
        <v>51</v>
      </c>
      <c r="M8" s="193" t="s">
        <v>52</v>
      </c>
      <c r="N8" s="197" t="s">
        <v>314</v>
      </c>
      <c r="O8" s="198"/>
      <c r="P8" s="199"/>
      <c r="Q8" s="193" t="s">
        <v>315</v>
      </c>
      <c r="R8" s="193" t="s">
        <v>54</v>
      </c>
      <c r="S8" s="193" t="s">
        <v>316</v>
      </c>
      <c r="T8" s="193" t="s">
        <v>317</v>
      </c>
    </row>
    <row r="9" spans="1:22" ht="15" customHeight="1">
      <c r="A9" s="202"/>
      <c r="B9" s="202"/>
      <c r="C9" s="204"/>
      <c r="D9" s="196"/>
      <c r="E9" s="196"/>
      <c r="F9" s="196"/>
      <c r="G9" s="196"/>
      <c r="H9" s="196"/>
      <c r="I9" s="196"/>
      <c r="J9" s="196"/>
      <c r="K9" s="196"/>
      <c r="L9" s="196"/>
      <c r="M9" s="196"/>
      <c r="N9" s="193" t="s">
        <v>318</v>
      </c>
      <c r="O9" s="193" t="s">
        <v>319</v>
      </c>
      <c r="P9" s="193" t="s">
        <v>320</v>
      </c>
      <c r="Q9" s="196"/>
      <c r="R9" s="196"/>
      <c r="S9" s="196"/>
      <c r="T9" s="196"/>
    </row>
    <row r="10" spans="1:22" ht="62.25" customHeight="1">
      <c r="A10" s="202"/>
      <c r="B10" s="202"/>
      <c r="C10" s="204"/>
      <c r="D10" s="194"/>
      <c r="E10" s="194"/>
      <c r="F10" s="194"/>
      <c r="G10" s="194"/>
      <c r="H10" s="194"/>
      <c r="I10" s="194"/>
      <c r="J10" s="194"/>
      <c r="K10" s="194"/>
      <c r="L10" s="194"/>
      <c r="M10" s="194"/>
      <c r="N10" s="194"/>
      <c r="O10" s="194"/>
      <c r="P10" s="194"/>
      <c r="Q10" s="194"/>
      <c r="R10" s="194"/>
      <c r="S10" s="194"/>
      <c r="T10" s="194"/>
    </row>
    <row r="11" spans="1:22" ht="15.6">
      <c r="A11" s="148" t="s">
        <v>2</v>
      </c>
      <c r="B11" s="148" t="s">
        <v>3</v>
      </c>
      <c r="C11" s="148">
        <v>1</v>
      </c>
      <c r="D11" s="149">
        <v>2</v>
      </c>
      <c r="E11" s="148">
        <v>3</v>
      </c>
      <c r="F11" s="149">
        <v>4</v>
      </c>
      <c r="G11" s="149">
        <v>5</v>
      </c>
      <c r="H11" s="148">
        <v>6</v>
      </c>
      <c r="I11" s="149">
        <v>7</v>
      </c>
      <c r="J11" s="149">
        <v>8</v>
      </c>
      <c r="K11" s="148">
        <v>9</v>
      </c>
      <c r="L11" s="149">
        <v>10</v>
      </c>
      <c r="M11" s="149">
        <v>11</v>
      </c>
      <c r="N11" s="149">
        <v>12</v>
      </c>
      <c r="O11" s="149">
        <v>13</v>
      </c>
      <c r="P11" s="148">
        <v>14</v>
      </c>
      <c r="Q11" s="149">
        <v>15</v>
      </c>
      <c r="R11" s="148">
        <v>16</v>
      </c>
      <c r="S11" s="148">
        <v>17</v>
      </c>
      <c r="T11" s="148">
        <v>18</v>
      </c>
    </row>
    <row r="12" spans="1:22">
      <c r="A12" s="150"/>
      <c r="B12" s="151" t="s">
        <v>321</v>
      </c>
      <c r="C12" s="152">
        <f t="shared" ref="C12:T12" si="1">+C13+C87</f>
        <v>7000293.2000000002</v>
      </c>
      <c r="D12" s="152">
        <f t="shared" si="1"/>
        <v>1203231.6000000001</v>
      </c>
      <c r="E12" s="152">
        <f t="shared" si="1"/>
        <v>43030</v>
      </c>
      <c r="F12" s="152">
        <f t="shared" si="1"/>
        <v>140000</v>
      </c>
      <c r="G12" s="152">
        <f t="shared" si="1"/>
        <v>36226</v>
      </c>
      <c r="H12" s="152">
        <f t="shared" si="1"/>
        <v>1195496</v>
      </c>
      <c r="I12" s="152">
        <f t="shared" si="1"/>
        <v>188901.7</v>
      </c>
      <c r="J12" s="152">
        <f t="shared" si="1"/>
        <v>29519</v>
      </c>
      <c r="K12" s="152">
        <f t="shared" si="1"/>
        <v>135462.70000000001</v>
      </c>
      <c r="L12" s="152">
        <f t="shared" si="1"/>
        <v>20925</v>
      </c>
      <c r="M12" s="152">
        <f t="shared" si="1"/>
        <v>965437.8</v>
      </c>
      <c r="N12" s="152">
        <f t="shared" si="1"/>
        <v>33000</v>
      </c>
      <c r="O12" s="152">
        <f t="shared" si="1"/>
        <v>189942</v>
      </c>
      <c r="P12" s="152">
        <f t="shared" si="1"/>
        <v>73168</v>
      </c>
      <c r="Q12" s="152">
        <f t="shared" si="1"/>
        <v>1141329</v>
      </c>
      <c r="R12" s="152">
        <f t="shared" si="1"/>
        <v>1232932.7</v>
      </c>
      <c r="S12" s="152">
        <f t="shared" si="1"/>
        <v>543307.69999999995</v>
      </c>
      <c r="T12" s="152">
        <f t="shared" si="1"/>
        <v>124494</v>
      </c>
    </row>
    <row r="13" spans="1:22">
      <c r="A13" s="153"/>
      <c r="B13" s="154" t="s">
        <v>322</v>
      </c>
      <c r="C13" s="155">
        <f>+C14+C46+C47+C70+C74+C77</f>
        <v>6310677.2000000002</v>
      </c>
      <c r="D13" s="155">
        <f>+D14+D46+D47+D70+D74+D77</f>
        <v>1203231.6000000001</v>
      </c>
      <c r="E13" s="155">
        <f t="shared" ref="E13:T13" si="2">+E14+E46+E47+E70+E74+E77</f>
        <v>43030</v>
      </c>
      <c r="F13" s="155">
        <f t="shared" si="2"/>
        <v>140000</v>
      </c>
      <c r="G13" s="155">
        <f t="shared" si="2"/>
        <v>36226</v>
      </c>
      <c r="H13" s="155">
        <f t="shared" si="2"/>
        <v>1136381</v>
      </c>
      <c r="I13" s="155">
        <f t="shared" si="2"/>
        <v>188213.7</v>
      </c>
      <c r="J13" s="155">
        <f t="shared" si="2"/>
        <v>29519</v>
      </c>
      <c r="K13" s="155">
        <f t="shared" si="2"/>
        <v>135462.70000000001</v>
      </c>
      <c r="L13" s="155">
        <f t="shared" si="2"/>
        <v>20925</v>
      </c>
      <c r="M13" s="155">
        <f t="shared" si="2"/>
        <v>759908.8</v>
      </c>
      <c r="N13" s="155">
        <f t="shared" si="2"/>
        <v>33000</v>
      </c>
      <c r="O13" s="155">
        <f t="shared" si="2"/>
        <v>189942</v>
      </c>
      <c r="P13" s="155">
        <f t="shared" si="2"/>
        <v>73168</v>
      </c>
      <c r="Q13" s="155">
        <f t="shared" si="2"/>
        <v>1141329</v>
      </c>
      <c r="R13" s="155">
        <f t="shared" si="2"/>
        <v>862940.7</v>
      </c>
      <c r="S13" s="155">
        <f t="shared" si="2"/>
        <v>541596.69999999995</v>
      </c>
      <c r="T13" s="155">
        <f t="shared" si="2"/>
        <v>71913</v>
      </c>
      <c r="U13" s="156"/>
      <c r="V13" s="156"/>
    </row>
    <row r="14" spans="1:22">
      <c r="A14" s="153" t="s">
        <v>9</v>
      </c>
      <c r="B14" s="157" t="s">
        <v>209</v>
      </c>
      <c r="C14" s="155">
        <f>SUM(C15:C45)</f>
        <v>5015587.2</v>
      </c>
      <c r="D14" s="155">
        <f>SUM(D15:D45)</f>
        <v>1198783.6000000001</v>
      </c>
      <c r="E14" s="155">
        <f t="shared" ref="E14:T14" si="3">SUM(E15:E45)</f>
        <v>41346</v>
      </c>
      <c r="F14" s="155">
        <f t="shared" si="3"/>
        <v>0</v>
      </c>
      <c r="G14" s="155">
        <f t="shared" si="3"/>
        <v>0</v>
      </c>
      <c r="H14" s="155">
        <f t="shared" si="3"/>
        <v>616161</v>
      </c>
      <c r="I14" s="155">
        <f t="shared" si="3"/>
        <v>166024.70000000001</v>
      </c>
      <c r="J14" s="155">
        <f t="shared" si="3"/>
        <v>29519</v>
      </c>
      <c r="K14" s="155">
        <f t="shared" si="3"/>
        <v>135462.70000000001</v>
      </c>
      <c r="L14" s="155">
        <f t="shared" si="3"/>
        <v>20577</v>
      </c>
      <c r="M14" s="155">
        <f t="shared" si="3"/>
        <v>511546.8</v>
      </c>
      <c r="N14" s="155">
        <f t="shared" si="3"/>
        <v>33000</v>
      </c>
      <c r="O14" s="155">
        <f t="shared" si="3"/>
        <v>189942</v>
      </c>
      <c r="P14" s="155">
        <f t="shared" si="3"/>
        <v>59999</v>
      </c>
      <c r="Q14" s="155">
        <f t="shared" si="3"/>
        <v>996008</v>
      </c>
      <c r="R14" s="155">
        <f t="shared" si="3"/>
        <v>814648.7</v>
      </c>
      <c r="S14" s="155">
        <f t="shared" si="3"/>
        <v>485509.7</v>
      </c>
      <c r="T14" s="155">
        <f t="shared" si="3"/>
        <v>0</v>
      </c>
    </row>
    <row r="15" spans="1:22">
      <c r="A15" s="122">
        <v>1</v>
      </c>
      <c r="B15" s="123" t="s">
        <v>323</v>
      </c>
      <c r="C15" s="97">
        <f t="shared" ref="C15:C46" si="4">SUM(D15:T15)-N15-O15-P15</f>
        <v>15516</v>
      </c>
      <c r="D15" s="97">
        <v>30</v>
      </c>
      <c r="E15" s="97">
        <v>0</v>
      </c>
      <c r="F15" s="158"/>
      <c r="G15" s="158"/>
      <c r="H15" s="97">
        <v>0</v>
      </c>
      <c r="I15" s="97">
        <v>0</v>
      </c>
      <c r="J15" s="97">
        <v>0</v>
      </c>
      <c r="K15" s="97">
        <v>0</v>
      </c>
      <c r="L15" s="97">
        <v>0</v>
      </c>
      <c r="M15" s="97">
        <v>60</v>
      </c>
      <c r="N15" s="97">
        <v>0</v>
      </c>
      <c r="O15" s="97">
        <v>0</v>
      </c>
      <c r="P15" s="158">
        <v>60</v>
      </c>
      <c r="Q15" s="97">
        <v>15426</v>
      </c>
      <c r="R15" s="97">
        <v>0</v>
      </c>
      <c r="S15" s="97">
        <v>0</v>
      </c>
      <c r="T15" s="97"/>
    </row>
    <row r="16" spans="1:22">
      <c r="A16" s="122">
        <v>2</v>
      </c>
      <c r="B16" s="123" t="s">
        <v>211</v>
      </c>
      <c r="C16" s="97">
        <f t="shared" si="4"/>
        <v>37310</v>
      </c>
      <c r="D16" s="97">
        <v>80</v>
      </c>
      <c r="E16" s="97">
        <v>0</v>
      </c>
      <c r="F16" s="158"/>
      <c r="G16" s="158"/>
      <c r="H16" s="97">
        <v>0</v>
      </c>
      <c r="I16" s="97">
        <v>0</v>
      </c>
      <c r="J16" s="97">
        <v>0</v>
      </c>
      <c r="K16" s="97">
        <v>0</v>
      </c>
      <c r="L16" s="97">
        <v>0</v>
      </c>
      <c r="M16" s="97">
        <f>50+4267</f>
        <v>4317</v>
      </c>
      <c r="N16" s="97">
        <v>0</v>
      </c>
      <c r="O16" s="97">
        <v>0</v>
      </c>
      <c r="P16" s="158">
        <v>2407</v>
      </c>
      <c r="Q16" s="97">
        <f>4233+26380</f>
        <v>30613</v>
      </c>
      <c r="R16" s="97">
        <v>0</v>
      </c>
      <c r="S16" s="97">
        <v>2300</v>
      </c>
      <c r="T16" s="97"/>
    </row>
    <row r="17" spans="1:22">
      <c r="A17" s="122">
        <v>3</v>
      </c>
      <c r="B17" s="123" t="s">
        <v>212</v>
      </c>
      <c r="C17" s="97">
        <f t="shared" si="4"/>
        <v>0</v>
      </c>
      <c r="D17" s="97">
        <v>0</v>
      </c>
      <c r="E17" s="97">
        <v>0</v>
      </c>
      <c r="F17" s="158"/>
      <c r="G17" s="158"/>
      <c r="H17" s="97">
        <v>0</v>
      </c>
      <c r="I17" s="97">
        <v>0</v>
      </c>
      <c r="J17" s="97">
        <v>0</v>
      </c>
      <c r="K17" s="97">
        <v>0</v>
      </c>
      <c r="L17" s="97">
        <v>0</v>
      </c>
      <c r="M17" s="97">
        <v>0</v>
      </c>
      <c r="N17" s="97">
        <v>0</v>
      </c>
      <c r="O17" s="97">
        <v>0</v>
      </c>
      <c r="P17" s="158">
        <v>0</v>
      </c>
      <c r="Q17" s="97">
        <v>0</v>
      </c>
      <c r="R17" s="97">
        <v>0</v>
      </c>
      <c r="S17" s="97">
        <v>0</v>
      </c>
      <c r="T17" s="97"/>
    </row>
    <row r="18" spans="1:22">
      <c r="A18" s="122">
        <v>4</v>
      </c>
      <c r="B18" s="123" t="s">
        <v>213</v>
      </c>
      <c r="C18" s="97">
        <f t="shared" si="4"/>
        <v>0</v>
      </c>
      <c r="D18" s="97">
        <v>0</v>
      </c>
      <c r="E18" s="97">
        <v>0</v>
      </c>
      <c r="F18" s="158"/>
      <c r="G18" s="158"/>
      <c r="H18" s="97">
        <v>0</v>
      </c>
      <c r="I18" s="97">
        <v>0</v>
      </c>
      <c r="J18" s="97">
        <v>0</v>
      </c>
      <c r="K18" s="97">
        <v>0</v>
      </c>
      <c r="L18" s="97">
        <v>0</v>
      </c>
      <c r="M18" s="97">
        <v>0</v>
      </c>
      <c r="N18" s="97">
        <v>0</v>
      </c>
      <c r="O18" s="97">
        <v>0</v>
      </c>
      <c r="P18" s="158">
        <v>0</v>
      </c>
      <c r="Q18" s="97">
        <v>0</v>
      </c>
      <c r="R18" s="97">
        <v>0</v>
      </c>
      <c r="S18" s="97">
        <v>0</v>
      </c>
      <c r="T18" s="97"/>
    </row>
    <row r="19" spans="1:22">
      <c r="A19" s="122">
        <v>5</v>
      </c>
      <c r="B19" s="123" t="s">
        <v>214</v>
      </c>
      <c r="C19" s="97">
        <f t="shared" si="4"/>
        <v>0</v>
      </c>
      <c r="D19" s="97">
        <v>0</v>
      </c>
      <c r="E19" s="97">
        <v>0</v>
      </c>
      <c r="F19" s="158"/>
      <c r="G19" s="158"/>
      <c r="H19" s="97">
        <v>0</v>
      </c>
      <c r="I19" s="97">
        <v>0</v>
      </c>
      <c r="J19" s="97">
        <v>0</v>
      </c>
      <c r="K19" s="97">
        <v>0</v>
      </c>
      <c r="L19" s="97">
        <v>0</v>
      </c>
      <c r="M19" s="97">
        <v>0</v>
      </c>
      <c r="N19" s="97">
        <v>0</v>
      </c>
      <c r="O19" s="97">
        <v>0</v>
      </c>
      <c r="P19" s="158">
        <v>0</v>
      </c>
      <c r="Q19" s="97">
        <v>0</v>
      </c>
      <c r="R19" s="97">
        <v>0</v>
      </c>
      <c r="S19" s="97">
        <v>0</v>
      </c>
      <c r="T19" s="97"/>
    </row>
    <row r="20" spans="1:22">
      <c r="A20" s="122">
        <v>6</v>
      </c>
      <c r="B20" s="123" t="s">
        <v>215</v>
      </c>
      <c r="C20" s="97">
        <f t="shared" si="4"/>
        <v>17942</v>
      </c>
      <c r="D20" s="158">
        <v>75</v>
      </c>
      <c r="E20" s="97">
        <v>0</v>
      </c>
      <c r="F20" s="158"/>
      <c r="G20" s="158"/>
      <c r="H20" s="97">
        <v>0</v>
      </c>
      <c r="I20" s="97">
        <v>0</v>
      </c>
      <c r="J20" s="97">
        <v>0</v>
      </c>
      <c r="K20" s="97">
        <v>0</v>
      </c>
      <c r="L20" s="97">
        <v>0</v>
      </c>
      <c r="M20" s="97">
        <f>5711-109</f>
        <v>5602</v>
      </c>
      <c r="N20" s="158">
        <v>0</v>
      </c>
      <c r="O20" s="158">
        <v>0</v>
      </c>
      <c r="P20" s="158">
        <v>50</v>
      </c>
      <c r="Q20" s="158">
        <f>12401-136</f>
        <v>12265</v>
      </c>
      <c r="R20" s="158">
        <v>0</v>
      </c>
      <c r="S20" s="97">
        <v>0</v>
      </c>
      <c r="T20" s="97"/>
      <c r="V20" s="156"/>
    </row>
    <row r="21" spans="1:22">
      <c r="A21" s="122">
        <v>7</v>
      </c>
      <c r="B21" s="123" t="s">
        <v>216</v>
      </c>
      <c r="C21" s="97">
        <f t="shared" si="4"/>
        <v>19764</v>
      </c>
      <c r="D21" s="97">
        <v>35</v>
      </c>
      <c r="E21" s="97">
        <v>0</v>
      </c>
      <c r="F21" s="158"/>
      <c r="G21" s="158"/>
      <c r="H21" s="97">
        <v>0</v>
      </c>
      <c r="I21" s="97">
        <v>0</v>
      </c>
      <c r="J21" s="97">
        <v>0</v>
      </c>
      <c r="K21" s="97">
        <v>0</v>
      </c>
      <c r="L21" s="97">
        <v>40</v>
      </c>
      <c r="M21" s="97">
        <f>10004</f>
        <v>10004</v>
      </c>
      <c r="N21" s="97">
        <v>0</v>
      </c>
      <c r="O21" s="97">
        <v>0</v>
      </c>
      <c r="P21" s="158">
        <v>50</v>
      </c>
      <c r="Q21" s="97">
        <f>9821-136</f>
        <v>9685</v>
      </c>
      <c r="R21" s="97">
        <v>0</v>
      </c>
      <c r="S21" s="97">
        <v>0</v>
      </c>
      <c r="T21" s="97"/>
      <c r="V21" s="156"/>
    </row>
    <row r="22" spans="1:22">
      <c r="A22" s="122">
        <v>8</v>
      </c>
      <c r="B22" s="123" t="s">
        <v>217</v>
      </c>
      <c r="C22" s="97">
        <f t="shared" si="4"/>
        <v>81502</v>
      </c>
      <c r="D22" s="97">
        <f>1180+80</f>
        <v>1260</v>
      </c>
      <c r="E22" s="97">
        <v>40040</v>
      </c>
      <c r="F22" s="158"/>
      <c r="G22" s="158"/>
      <c r="H22" s="97">
        <v>0</v>
      </c>
      <c r="I22" s="97">
        <v>0</v>
      </c>
      <c r="J22" s="97">
        <v>227</v>
      </c>
      <c r="K22" s="97">
        <v>0</v>
      </c>
      <c r="L22" s="97">
        <v>0</v>
      </c>
      <c r="M22" s="97">
        <f>24720+50</f>
        <v>24770</v>
      </c>
      <c r="N22" s="97">
        <v>0</v>
      </c>
      <c r="O22" s="97">
        <v>0</v>
      </c>
      <c r="P22" s="158">
        <f>24720+50</f>
        <v>24770</v>
      </c>
      <c r="Q22" s="97">
        <f>5199+10006</f>
        <v>15205</v>
      </c>
      <c r="R22" s="97">
        <v>0</v>
      </c>
      <c r="S22" s="97">
        <v>0</v>
      </c>
      <c r="T22" s="97"/>
    </row>
    <row r="23" spans="1:22">
      <c r="A23" s="122">
        <v>9</v>
      </c>
      <c r="B23" s="123" t="s">
        <v>218</v>
      </c>
      <c r="C23" s="97">
        <f t="shared" si="4"/>
        <v>36145</v>
      </c>
      <c r="D23" s="97">
        <v>750</v>
      </c>
      <c r="E23" s="97">
        <v>0</v>
      </c>
      <c r="F23" s="158"/>
      <c r="G23" s="158"/>
      <c r="H23" s="97">
        <v>0</v>
      </c>
      <c r="I23" s="97">
        <v>0</v>
      </c>
      <c r="J23" s="97">
        <v>0</v>
      </c>
      <c r="K23" s="97">
        <v>0</v>
      </c>
      <c r="L23" s="97">
        <v>0</v>
      </c>
      <c r="M23" s="97">
        <f>2770+2900-2800</f>
        <v>2870</v>
      </c>
      <c r="N23" s="97">
        <v>0</v>
      </c>
      <c r="O23" s="97">
        <v>0</v>
      </c>
      <c r="P23" s="158">
        <f>50+2900-2800</f>
        <v>150</v>
      </c>
      <c r="Q23" s="97">
        <f>10268+20579-136-136</f>
        <v>30575</v>
      </c>
      <c r="R23" s="97">
        <v>0</v>
      </c>
      <c r="S23" s="97">
        <f>950+1000</f>
        <v>1950</v>
      </c>
      <c r="T23" s="97"/>
    </row>
    <row r="24" spans="1:22">
      <c r="A24" s="122">
        <v>10</v>
      </c>
      <c r="B24" s="123" t="s">
        <v>219</v>
      </c>
      <c r="C24" s="97">
        <f t="shared" si="4"/>
        <v>69007</v>
      </c>
      <c r="D24" s="97">
        <f>39+237</f>
        <v>276</v>
      </c>
      <c r="E24" s="97">
        <v>0</v>
      </c>
      <c r="F24" s="158"/>
      <c r="G24" s="158"/>
      <c r="H24" s="97">
        <v>0</v>
      </c>
      <c r="I24" s="97">
        <v>0</v>
      </c>
      <c r="J24" s="97">
        <v>0</v>
      </c>
      <c r="K24" s="97">
        <v>0</v>
      </c>
      <c r="L24" s="97">
        <v>0</v>
      </c>
      <c r="M24" s="97">
        <f>30050+150</f>
        <v>30200</v>
      </c>
      <c r="N24" s="97">
        <v>30000</v>
      </c>
      <c r="O24" s="97">
        <v>0</v>
      </c>
      <c r="P24" s="158">
        <f>50+50</f>
        <v>100</v>
      </c>
      <c r="Q24" s="97">
        <f>27892+10911-136-136</f>
        <v>38531</v>
      </c>
      <c r="R24" s="97">
        <v>0</v>
      </c>
      <c r="S24" s="97">
        <v>0</v>
      </c>
      <c r="T24" s="97"/>
    </row>
    <row r="25" spans="1:22">
      <c r="A25" s="122">
        <v>11</v>
      </c>
      <c r="B25" s="123" t="s">
        <v>220</v>
      </c>
      <c r="C25" s="97">
        <f t="shared" si="4"/>
        <v>0</v>
      </c>
      <c r="D25" s="97">
        <v>0</v>
      </c>
      <c r="E25" s="97">
        <v>0</v>
      </c>
      <c r="F25" s="158"/>
      <c r="G25" s="158"/>
      <c r="H25" s="97">
        <v>0</v>
      </c>
      <c r="I25" s="97">
        <v>0</v>
      </c>
      <c r="J25" s="97">
        <v>0</v>
      </c>
      <c r="K25" s="97">
        <v>0</v>
      </c>
      <c r="L25" s="97">
        <v>0</v>
      </c>
      <c r="M25" s="97">
        <v>0</v>
      </c>
      <c r="N25" s="97">
        <v>0</v>
      </c>
      <c r="O25" s="97">
        <v>0</v>
      </c>
      <c r="P25" s="158">
        <v>0</v>
      </c>
      <c r="Q25" s="97">
        <v>0</v>
      </c>
      <c r="R25" s="97">
        <v>0</v>
      </c>
      <c r="S25" s="97">
        <v>0</v>
      </c>
      <c r="T25" s="97"/>
    </row>
    <row r="26" spans="1:22">
      <c r="A26" s="122">
        <v>12</v>
      </c>
      <c r="B26" s="123" t="s">
        <v>221</v>
      </c>
      <c r="C26" s="97">
        <f t="shared" si="4"/>
        <v>1072201</v>
      </c>
      <c r="D26" s="97">
        <f>120631+932219</f>
        <v>1052850</v>
      </c>
      <c r="E26" s="97">
        <v>0</v>
      </c>
      <c r="F26" s="158"/>
      <c r="G26" s="158"/>
      <c r="H26" s="97">
        <v>0</v>
      </c>
      <c r="I26" s="97">
        <v>0</v>
      </c>
      <c r="J26" s="97">
        <v>0</v>
      </c>
      <c r="K26" s="97">
        <v>0</v>
      </c>
      <c r="L26" s="97">
        <v>40</v>
      </c>
      <c r="M26" s="97">
        <v>100</v>
      </c>
      <c r="N26" s="97">
        <v>0</v>
      </c>
      <c r="O26" s="97">
        <v>0</v>
      </c>
      <c r="P26" s="158">
        <v>100</v>
      </c>
      <c r="Q26" s="97">
        <f>1093+15354-136</f>
        <v>16311</v>
      </c>
      <c r="R26" s="97">
        <v>2900</v>
      </c>
      <c r="S26" s="97">
        <v>0</v>
      </c>
      <c r="T26" s="97"/>
    </row>
    <row r="27" spans="1:22">
      <c r="A27" s="122">
        <v>13</v>
      </c>
      <c r="B27" s="123" t="s">
        <v>222</v>
      </c>
      <c r="C27" s="97">
        <f t="shared" si="4"/>
        <v>632646</v>
      </c>
      <c r="D27" s="97">
        <f>40+472</f>
        <v>512</v>
      </c>
      <c r="E27" s="97">
        <v>1306</v>
      </c>
      <c r="F27" s="158"/>
      <c r="G27" s="158"/>
      <c r="H27" s="97">
        <f>610261-30000-218</f>
        <v>580043</v>
      </c>
      <c r="I27" s="97">
        <v>0</v>
      </c>
      <c r="J27" s="97">
        <v>0</v>
      </c>
      <c r="K27" s="97">
        <v>0</v>
      </c>
      <c r="L27" s="97">
        <v>53</v>
      </c>
      <c r="M27" s="97">
        <v>50</v>
      </c>
      <c r="N27" s="97">
        <v>0</v>
      </c>
      <c r="O27" s="97">
        <v>0</v>
      </c>
      <c r="P27" s="158">
        <v>50</v>
      </c>
      <c r="Q27" s="97">
        <f>2247+14738-136</f>
        <v>16849</v>
      </c>
      <c r="R27" s="97">
        <v>33833</v>
      </c>
      <c r="S27" s="97">
        <v>0</v>
      </c>
      <c r="T27" s="97"/>
    </row>
    <row r="28" spans="1:22">
      <c r="A28" s="122">
        <v>14</v>
      </c>
      <c r="B28" s="123" t="s">
        <v>223</v>
      </c>
      <c r="C28" s="97">
        <f t="shared" si="4"/>
        <v>0</v>
      </c>
      <c r="D28" s="97">
        <v>0</v>
      </c>
      <c r="E28" s="97">
        <v>0</v>
      </c>
      <c r="F28" s="158"/>
      <c r="G28" s="158"/>
      <c r="H28" s="97">
        <v>0</v>
      </c>
      <c r="I28" s="97">
        <v>0</v>
      </c>
      <c r="J28" s="97">
        <v>0</v>
      </c>
      <c r="K28" s="97">
        <v>0</v>
      </c>
      <c r="L28" s="97">
        <v>0</v>
      </c>
      <c r="M28" s="97">
        <v>0</v>
      </c>
      <c r="N28" s="97">
        <v>0</v>
      </c>
      <c r="O28" s="97">
        <v>0</v>
      </c>
      <c r="P28" s="158">
        <v>0</v>
      </c>
      <c r="Q28" s="97">
        <v>0</v>
      </c>
      <c r="R28" s="97">
        <v>0</v>
      </c>
      <c r="S28" s="97">
        <v>0</v>
      </c>
      <c r="T28" s="97"/>
    </row>
    <row r="29" spans="1:22">
      <c r="A29" s="122">
        <v>15</v>
      </c>
      <c r="B29" s="123" t="s">
        <v>224</v>
      </c>
      <c r="C29" s="97">
        <f t="shared" si="4"/>
        <v>203776</v>
      </c>
      <c r="D29" s="97">
        <f>90+1082</f>
        <v>1172</v>
      </c>
      <c r="E29" s="97">
        <v>0</v>
      </c>
      <c r="F29" s="158"/>
      <c r="G29" s="158"/>
      <c r="H29" s="97">
        <v>1100</v>
      </c>
      <c r="I29" s="97">
        <f>52587-218</f>
        <v>52369</v>
      </c>
      <c r="J29" s="97">
        <v>14433</v>
      </c>
      <c r="K29" s="97">
        <f>118766-327</f>
        <v>118439</v>
      </c>
      <c r="L29" s="97">
        <v>60</v>
      </c>
      <c r="M29" s="97">
        <f>370+1950</f>
        <v>2320</v>
      </c>
      <c r="N29" s="97">
        <v>0</v>
      </c>
      <c r="O29" s="97">
        <v>0</v>
      </c>
      <c r="P29" s="158">
        <f>370+50</f>
        <v>420</v>
      </c>
      <c r="Q29" s="97">
        <f>1221+12498-136</f>
        <v>13583</v>
      </c>
      <c r="R29" s="97">
        <v>0</v>
      </c>
      <c r="S29" s="97">
        <v>300</v>
      </c>
      <c r="T29" s="97"/>
      <c r="U29" s="156">
        <f>+C18+C30</f>
        <v>0</v>
      </c>
    </row>
    <row r="30" spans="1:22">
      <c r="A30" s="122">
        <v>16</v>
      </c>
      <c r="B30" s="123" t="s">
        <v>225</v>
      </c>
      <c r="C30" s="97">
        <f t="shared" si="4"/>
        <v>0</v>
      </c>
      <c r="D30" s="97">
        <v>0</v>
      </c>
      <c r="E30" s="97">
        <v>0</v>
      </c>
      <c r="F30" s="158"/>
      <c r="G30" s="158"/>
      <c r="H30" s="97">
        <v>0</v>
      </c>
      <c r="I30" s="97">
        <v>0</v>
      </c>
      <c r="J30" s="97">
        <v>0</v>
      </c>
      <c r="K30" s="97">
        <v>0</v>
      </c>
      <c r="L30" s="97">
        <v>0</v>
      </c>
      <c r="M30" s="97">
        <v>0</v>
      </c>
      <c r="N30" s="97">
        <v>0</v>
      </c>
      <c r="O30" s="97">
        <v>0</v>
      </c>
      <c r="P30" s="158">
        <v>0</v>
      </c>
      <c r="Q30" s="97">
        <v>0</v>
      </c>
      <c r="R30" s="97">
        <v>0</v>
      </c>
      <c r="S30" s="97">
        <v>0</v>
      </c>
      <c r="T30" s="97"/>
    </row>
    <row r="31" spans="1:22">
      <c r="A31" s="122">
        <v>17</v>
      </c>
      <c r="B31" s="123" t="s">
        <v>324</v>
      </c>
      <c r="C31" s="97">
        <f t="shared" ref="C31" si="5">SUM(D31:T31)-N31-O31-P31</f>
        <v>291840</v>
      </c>
      <c r="D31" s="97">
        <f>3625+25</f>
        <v>3650</v>
      </c>
      <c r="E31" s="97">
        <v>0</v>
      </c>
      <c r="F31" s="158"/>
      <c r="G31" s="158"/>
      <c r="H31" s="97">
        <v>0</v>
      </c>
      <c r="I31" s="97">
        <v>0</v>
      </c>
      <c r="J31" s="97">
        <v>0</v>
      </c>
      <c r="K31" s="97">
        <v>0</v>
      </c>
      <c r="L31" s="97">
        <f>84+18400</f>
        <v>18484</v>
      </c>
      <c r="M31" s="97">
        <f>189942+24302-2500-509-109</f>
        <v>211126</v>
      </c>
      <c r="N31" s="97">
        <v>0</v>
      </c>
      <c r="O31" s="97">
        <f>189942-2500-509</f>
        <v>186933</v>
      </c>
      <c r="P31" s="158">
        <f>3363-109</f>
        <v>3254</v>
      </c>
      <c r="Q31" s="97">
        <f>43196+14924+796-636</f>
        <v>58280</v>
      </c>
      <c r="R31" s="97">
        <v>0</v>
      </c>
      <c r="S31" s="97">
        <v>300</v>
      </c>
      <c r="T31" s="97"/>
    </row>
    <row r="32" spans="1:22">
      <c r="A32" s="122">
        <v>18</v>
      </c>
      <c r="B32" s="123" t="s">
        <v>227</v>
      </c>
      <c r="C32" s="97">
        <f t="shared" si="4"/>
        <v>0</v>
      </c>
      <c r="D32" s="97">
        <v>0</v>
      </c>
      <c r="E32" s="97">
        <v>0</v>
      </c>
      <c r="F32" s="158"/>
      <c r="G32" s="158"/>
      <c r="H32" s="97">
        <v>0</v>
      </c>
      <c r="I32" s="97">
        <v>0</v>
      </c>
      <c r="J32" s="97">
        <v>0</v>
      </c>
      <c r="K32" s="97">
        <v>0</v>
      </c>
      <c r="L32" s="97">
        <v>0</v>
      </c>
      <c r="M32" s="97">
        <v>0</v>
      </c>
      <c r="N32" s="97">
        <v>0</v>
      </c>
      <c r="O32" s="97">
        <v>0</v>
      </c>
      <c r="P32" s="158">
        <v>0</v>
      </c>
      <c r="Q32" s="97">
        <v>0</v>
      </c>
      <c r="R32" s="97">
        <v>0</v>
      </c>
      <c r="S32" s="97">
        <v>0</v>
      </c>
      <c r="T32" s="97"/>
    </row>
    <row r="33" spans="1:20">
      <c r="A33" s="122">
        <v>19</v>
      </c>
      <c r="B33" s="123" t="s">
        <v>228</v>
      </c>
      <c r="C33" s="97">
        <f t="shared" si="4"/>
        <v>146938</v>
      </c>
      <c r="D33" s="97">
        <f>106+5540</f>
        <v>5646</v>
      </c>
      <c r="E33" s="97">
        <v>0</v>
      </c>
      <c r="F33" s="158"/>
      <c r="G33" s="158"/>
      <c r="H33" s="97">
        <v>0</v>
      </c>
      <c r="I33" s="97">
        <v>0</v>
      </c>
      <c r="J33" s="97">
        <v>0</v>
      </c>
      <c r="K33" s="97">
        <v>0</v>
      </c>
      <c r="L33" s="97">
        <v>108</v>
      </c>
      <c r="M33" s="97">
        <f>50+1145+13636-9800</f>
        <v>5031</v>
      </c>
      <c r="N33" s="97">
        <v>0</v>
      </c>
      <c r="O33" s="97">
        <v>0</v>
      </c>
      <c r="P33" s="158">
        <f>50+9850-9800</f>
        <v>100</v>
      </c>
      <c r="Q33" s="97">
        <f>45798-7258+7625</f>
        <v>46165</v>
      </c>
      <c r="R33" s="97">
        <v>50610</v>
      </c>
      <c r="S33" s="97">
        <v>39378</v>
      </c>
      <c r="T33" s="97"/>
    </row>
    <row r="34" spans="1:20">
      <c r="A34" s="122">
        <v>20</v>
      </c>
      <c r="B34" s="123" t="s">
        <v>229</v>
      </c>
      <c r="C34" s="97">
        <f t="shared" ref="C34" si="6">SUM(D34:T34)-N34-O34-P34</f>
        <v>11947</v>
      </c>
      <c r="D34" s="97">
        <v>0</v>
      </c>
      <c r="E34" s="97">
        <v>0</v>
      </c>
      <c r="F34" s="158"/>
      <c r="G34" s="158"/>
      <c r="H34" s="97">
        <v>0</v>
      </c>
      <c r="I34" s="97">
        <v>0</v>
      </c>
      <c r="J34" s="97">
        <v>0</v>
      </c>
      <c r="K34" s="97">
        <v>0</v>
      </c>
      <c r="L34" s="97">
        <v>0</v>
      </c>
      <c r="M34" s="97">
        <v>50</v>
      </c>
      <c r="N34" s="97">
        <v>0</v>
      </c>
      <c r="O34" s="97">
        <v>0</v>
      </c>
      <c r="P34" s="158">
        <v>50</v>
      </c>
      <c r="Q34" s="97">
        <f>7258+4639</f>
        <v>11897</v>
      </c>
      <c r="R34" s="97">
        <v>0</v>
      </c>
      <c r="S34" s="97">
        <v>0</v>
      </c>
      <c r="T34" s="97"/>
    </row>
    <row r="35" spans="1:20">
      <c r="A35" s="122">
        <v>21</v>
      </c>
      <c r="B35" s="123" t="s">
        <v>230</v>
      </c>
      <c r="C35" s="97">
        <f t="shared" si="4"/>
        <v>15105</v>
      </c>
      <c r="D35" s="97">
        <v>36</v>
      </c>
      <c r="E35" s="97">
        <v>0</v>
      </c>
      <c r="F35" s="158"/>
      <c r="G35" s="158"/>
      <c r="H35" s="97">
        <v>0</v>
      </c>
      <c r="I35" s="97">
        <v>0</v>
      </c>
      <c r="J35" s="97">
        <v>0</v>
      </c>
      <c r="K35" s="97">
        <v>0</v>
      </c>
      <c r="L35" s="97">
        <v>0</v>
      </c>
      <c r="M35" s="97">
        <v>50</v>
      </c>
      <c r="N35" s="97">
        <v>0</v>
      </c>
      <c r="O35" s="97">
        <v>0</v>
      </c>
      <c r="P35" s="158">
        <v>50</v>
      </c>
      <c r="Q35" s="97">
        <v>15019</v>
      </c>
      <c r="R35" s="97">
        <v>0</v>
      </c>
      <c r="S35" s="97">
        <v>0</v>
      </c>
      <c r="T35" s="97"/>
    </row>
    <row r="36" spans="1:20">
      <c r="A36" s="122">
        <v>22</v>
      </c>
      <c r="B36" s="123" t="s">
        <v>231</v>
      </c>
      <c r="C36" s="97">
        <f t="shared" si="4"/>
        <v>0</v>
      </c>
      <c r="D36" s="97">
        <v>0</v>
      </c>
      <c r="E36" s="97">
        <v>0</v>
      </c>
      <c r="F36" s="158"/>
      <c r="G36" s="158"/>
      <c r="H36" s="97">
        <v>0</v>
      </c>
      <c r="I36" s="97">
        <v>0</v>
      </c>
      <c r="J36" s="97">
        <v>0</v>
      </c>
      <c r="K36" s="97">
        <v>0</v>
      </c>
      <c r="L36" s="97">
        <v>0</v>
      </c>
      <c r="M36" s="97">
        <v>0</v>
      </c>
      <c r="N36" s="97">
        <v>0</v>
      </c>
      <c r="O36" s="97">
        <v>0</v>
      </c>
      <c r="P36" s="158">
        <v>0</v>
      </c>
      <c r="Q36" s="97">
        <v>0</v>
      </c>
      <c r="R36" s="97">
        <v>0</v>
      </c>
      <c r="S36" s="97">
        <v>0</v>
      </c>
      <c r="T36" s="97"/>
    </row>
    <row r="37" spans="1:20">
      <c r="A37" s="122">
        <v>23</v>
      </c>
      <c r="B37" s="123" t="s">
        <v>232</v>
      </c>
      <c r="C37" s="97">
        <f t="shared" si="4"/>
        <v>11193</v>
      </c>
      <c r="D37" s="97">
        <v>135</v>
      </c>
      <c r="E37" s="97">
        <v>0</v>
      </c>
      <c r="F37" s="158"/>
      <c r="G37" s="158"/>
      <c r="H37" s="97">
        <v>0</v>
      </c>
      <c r="I37" s="97">
        <v>0</v>
      </c>
      <c r="J37" s="97">
        <v>0</v>
      </c>
      <c r="K37" s="97">
        <v>0</v>
      </c>
      <c r="L37" s="97">
        <v>100</v>
      </c>
      <c r="M37" s="97">
        <v>3029</v>
      </c>
      <c r="N37" s="97">
        <v>0</v>
      </c>
      <c r="O37" s="97">
        <v>0</v>
      </c>
      <c r="P37" s="158">
        <v>50</v>
      </c>
      <c r="Q37" s="97">
        <v>7929</v>
      </c>
      <c r="R37" s="97">
        <v>0</v>
      </c>
      <c r="S37" s="97">
        <v>0</v>
      </c>
      <c r="T37" s="97"/>
    </row>
    <row r="38" spans="1:20">
      <c r="A38" s="122">
        <v>24</v>
      </c>
      <c r="B38" s="123" t="s">
        <v>233</v>
      </c>
      <c r="C38" s="97">
        <f t="shared" si="4"/>
        <v>32674</v>
      </c>
      <c r="D38" s="158">
        <v>92</v>
      </c>
      <c r="E38" s="97">
        <v>0</v>
      </c>
      <c r="F38" s="158"/>
      <c r="G38" s="158"/>
      <c r="H38" s="97">
        <v>0</v>
      </c>
      <c r="I38" s="97">
        <v>32582</v>
      </c>
      <c r="J38" s="97">
        <v>0</v>
      </c>
      <c r="K38" s="97">
        <v>0</v>
      </c>
      <c r="L38" s="97">
        <v>0</v>
      </c>
      <c r="M38" s="97">
        <f>2700-2700</f>
        <v>0</v>
      </c>
      <c r="N38" s="158">
        <v>0</v>
      </c>
      <c r="O38" s="158">
        <v>0</v>
      </c>
      <c r="P38" s="158">
        <f>2700-2700</f>
        <v>0</v>
      </c>
      <c r="Q38" s="158">
        <v>0</v>
      </c>
      <c r="R38" s="158">
        <v>0</v>
      </c>
      <c r="S38" s="97">
        <v>0</v>
      </c>
      <c r="T38" s="97"/>
    </row>
    <row r="39" spans="1:20">
      <c r="A39" s="122">
        <v>25</v>
      </c>
      <c r="B39" s="123" t="s">
        <v>234</v>
      </c>
      <c r="C39" s="97">
        <f t="shared" si="4"/>
        <v>25862</v>
      </c>
      <c r="D39" s="97">
        <v>15</v>
      </c>
      <c r="E39" s="97">
        <v>0</v>
      </c>
      <c r="F39" s="97"/>
      <c r="G39" s="97"/>
      <c r="H39" s="97">
        <v>0</v>
      </c>
      <c r="I39" s="97">
        <v>0</v>
      </c>
      <c r="J39" s="97">
        <v>0</v>
      </c>
      <c r="K39" s="97">
        <v>0</v>
      </c>
      <c r="L39" s="97">
        <v>0</v>
      </c>
      <c r="M39" s="97">
        <f>30147-4300</f>
        <v>25847</v>
      </c>
      <c r="N39" s="97">
        <v>0</v>
      </c>
      <c r="O39" s="97">
        <v>0</v>
      </c>
      <c r="P39" s="97">
        <f>4350-4300</f>
        <v>50</v>
      </c>
      <c r="Q39" s="97">
        <v>0</v>
      </c>
      <c r="R39" s="97">
        <v>0</v>
      </c>
      <c r="S39" s="97">
        <v>0</v>
      </c>
      <c r="T39" s="97"/>
    </row>
    <row r="40" spans="1:20">
      <c r="A40" s="122">
        <v>26</v>
      </c>
      <c r="B40" s="123" t="s">
        <v>235</v>
      </c>
      <c r="C40" s="97">
        <f t="shared" si="4"/>
        <v>18648</v>
      </c>
      <c r="D40" s="97">
        <f>18847-199</f>
        <v>18648</v>
      </c>
      <c r="E40" s="97">
        <v>0</v>
      </c>
      <c r="F40" s="158"/>
      <c r="G40" s="158"/>
      <c r="H40" s="97">
        <v>0</v>
      </c>
      <c r="I40" s="97">
        <v>0</v>
      </c>
      <c r="J40" s="97">
        <v>0</v>
      </c>
      <c r="K40" s="97">
        <v>0</v>
      </c>
      <c r="L40" s="97">
        <v>0</v>
      </c>
      <c r="M40" s="97">
        <v>0</v>
      </c>
      <c r="N40" s="97">
        <v>0</v>
      </c>
      <c r="O40" s="97">
        <v>0</v>
      </c>
      <c r="P40" s="158">
        <v>0</v>
      </c>
      <c r="Q40" s="97">
        <v>0</v>
      </c>
      <c r="R40" s="97">
        <v>0</v>
      </c>
      <c r="S40" s="97">
        <v>0</v>
      </c>
      <c r="T40" s="97"/>
    </row>
    <row r="41" spans="1:20">
      <c r="A41" s="122">
        <v>27</v>
      </c>
      <c r="B41" s="123" t="s">
        <v>236</v>
      </c>
      <c r="C41" s="97">
        <f t="shared" si="4"/>
        <v>41083</v>
      </c>
      <c r="D41" s="97">
        <v>41083</v>
      </c>
      <c r="E41" s="97">
        <v>0</v>
      </c>
      <c r="F41" s="158"/>
      <c r="G41" s="158"/>
      <c r="H41" s="97">
        <v>0</v>
      </c>
      <c r="I41" s="97">
        <v>0</v>
      </c>
      <c r="J41" s="97">
        <v>0</v>
      </c>
      <c r="K41" s="97">
        <v>0</v>
      </c>
      <c r="L41" s="97">
        <v>0</v>
      </c>
      <c r="M41" s="97">
        <v>0</v>
      </c>
      <c r="N41" s="97">
        <v>0</v>
      </c>
      <c r="O41" s="97">
        <v>0</v>
      </c>
      <c r="P41" s="158">
        <v>0</v>
      </c>
      <c r="Q41" s="97">
        <v>0</v>
      </c>
      <c r="R41" s="97">
        <v>0</v>
      </c>
      <c r="S41" s="97">
        <v>0</v>
      </c>
      <c r="T41" s="97"/>
    </row>
    <row r="42" spans="1:20">
      <c r="A42" s="122">
        <v>28</v>
      </c>
      <c r="B42" s="97" t="s">
        <v>237</v>
      </c>
      <c r="C42" s="97">
        <f t="shared" si="4"/>
        <v>18053</v>
      </c>
      <c r="D42" s="97">
        <v>18053</v>
      </c>
      <c r="E42" s="97">
        <v>0</v>
      </c>
      <c r="F42" s="158"/>
      <c r="G42" s="158"/>
      <c r="H42" s="97">
        <v>0</v>
      </c>
      <c r="I42" s="97">
        <v>0</v>
      </c>
      <c r="J42" s="97">
        <v>0</v>
      </c>
      <c r="K42" s="97">
        <v>0</v>
      </c>
      <c r="L42" s="97">
        <v>0</v>
      </c>
      <c r="M42" s="97">
        <v>0</v>
      </c>
      <c r="N42" s="97">
        <v>0</v>
      </c>
      <c r="O42" s="97">
        <v>0</v>
      </c>
      <c r="P42" s="158">
        <v>0</v>
      </c>
      <c r="Q42" s="97">
        <v>0</v>
      </c>
      <c r="R42" s="97">
        <v>0</v>
      </c>
      <c r="S42" s="97">
        <v>0</v>
      </c>
      <c r="T42" s="97"/>
    </row>
    <row r="43" spans="1:20">
      <c r="A43" s="122">
        <v>29</v>
      </c>
      <c r="B43" s="97" t="s">
        <v>238</v>
      </c>
      <c r="C43" s="97">
        <f t="shared" si="4"/>
        <v>400</v>
      </c>
      <c r="D43" s="97">
        <v>0</v>
      </c>
      <c r="E43" s="97">
        <v>0</v>
      </c>
      <c r="F43" s="158"/>
      <c r="G43" s="158"/>
      <c r="H43" s="97">
        <v>0</v>
      </c>
      <c r="I43" s="97">
        <v>0</v>
      </c>
      <c r="J43" s="97">
        <v>0</v>
      </c>
      <c r="K43" s="97">
        <v>0</v>
      </c>
      <c r="L43" s="97">
        <v>0</v>
      </c>
      <c r="M43" s="97">
        <v>0</v>
      </c>
      <c r="N43" s="159">
        <v>0</v>
      </c>
      <c r="O43" s="97">
        <v>0</v>
      </c>
      <c r="P43" s="158">
        <v>0</v>
      </c>
      <c r="Q43" s="97">
        <v>0</v>
      </c>
      <c r="R43" s="97">
        <v>0</v>
      </c>
      <c r="S43" s="97">
        <v>400</v>
      </c>
      <c r="T43" s="97"/>
    </row>
    <row r="44" spans="1:20">
      <c r="A44" s="122">
        <v>30</v>
      </c>
      <c r="B44" s="97" t="s">
        <v>239</v>
      </c>
      <c r="C44" s="97">
        <f t="shared" si="4"/>
        <v>1498</v>
      </c>
      <c r="D44" s="97">
        <v>0</v>
      </c>
      <c r="E44" s="97">
        <v>0</v>
      </c>
      <c r="F44" s="158"/>
      <c r="G44" s="158"/>
      <c r="H44" s="97"/>
      <c r="I44" s="97"/>
      <c r="J44" s="97"/>
      <c r="K44" s="97"/>
      <c r="L44" s="97"/>
      <c r="M44" s="97"/>
      <c r="N44" s="159"/>
      <c r="O44" s="97"/>
      <c r="P44" s="158"/>
      <c r="Q44" s="97">
        <v>1498</v>
      </c>
      <c r="R44" s="97"/>
      <c r="S44" s="97"/>
      <c r="T44" s="97"/>
    </row>
    <row r="45" spans="1:20">
      <c r="A45" s="122">
        <v>31</v>
      </c>
      <c r="B45" s="97" t="s">
        <v>240</v>
      </c>
      <c r="C45" s="97">
        <f t="shared" si="4"/>
        <v>2214537.2000000002</v>
      </c>
      <c r="D45" s="97">
        <f>199+638+53548.6</f>
        <v>54385.599999999999</v>
      </c>
      <c r="E45" s="97">
        <v>0</v>
      </c>
      <c r="F45" s="158"/>
      <c r="G45" s="158"/>
      <c r="H45" s="97">
        <f>30000+1100+218+3700</f>
        <v>35018</v>
      </c>
      <c r="I45" s="97">
        <f>218+80855.7</f>
        <v>81073.7</v>
      </c>
      <c r="J45" s="97">
        <v>14859</v>
      </c>
      <c r="K45" s="97">
        <f>1000+327+15696.7</f>
        <v>17023.7</v>
      </c>
      <c r="L45" s="97">
        <v>1692</v>
      </c>
      <c r="M45" s="97">
        <f>2079+14500+2800+2500+2700+4300+9800+109+509+109+146714.8</f>
        <v>186120.8</v>
      </c>
      <c r="N45" s="158">
        <v>3000</v>
      </c>
      <c r="O45" s="97">
        <f>2500+509</f>
        <v>3009</v>
      </c>
      <c r="P45" s="158">
        <f>2079+6500+2800+4300+2700+9800+109</f>
        <v>28288</v>
      </c>
      <c r="Q45" s="97">
        <f>612+40435+136+136+136+136+136+136+136+136+136+636+613270</f>
        <v>656177</v>
      </c>
      <c r="R45" s="97">
        <f>80+727225.7</f>
        <v>727305.7</v>
      </c>
      <c r="S45" s="97">
        <f>157942+30000+243524+9415.7</f>
        <v>440881.7</v>
      </c>
      <c r="T45" s="97"/>
    </row>
    <row r="46" spans="1:20">
      <c r="A46" s="124" t="s">
        <v>6</v>
      </c>
      <c r="B46" s="125" t="s">
        <v>242</v>
      </c>
      <c r="C46" s="125">
        <f t="shared" si="4"/>
        <v>156619</v>
      </c>
      <c r="D46" s="125">
        <v>2069</v>
      </c>
      <c r="E46" s="125">
        <v>0</v>
      </c>
      <c r="F46" s="155"/>
      <c r="G46" s="155"/>
      <c r="H46" s="125">
        <v>7669</v>
      </c>
      <c r="I46" s="125">
        <v>16878</v>
      </c>
      <c r="J46" s="125">
        <v>0</v>
      </c>
      <c r="K46" s="125">
        <v>0</v>
      </c>
      <c r="L46" s="125">
        <v>138</v>
      </c>
      <c r="M46" s="125">
        <v>8364</v>
      </c>
      <c r="N46" s="125">
        <v>0</v>
      </c>
      <c r="O46" s="125">
        <v>0</v>
      </c>
      <c r="P46" s="155">
        <v>8364</v>
      </c>
      <c r="Q46" s="125">
        <v>80602</v>
      </c>
      <c r="R46" s="125">
        <v>0</v>
      </c>
      <c r="S46" s="125">
        <v>40899</v>
      </c>
      <c r="T46" s="125"/>
    </row>
    <row r="47" spans="1:20">
      <c r="A47" s="124" t="s">
        <v>7</v>
      </c>
      <c r="B47" s="125" t="s">
        <v>244</v>
      </c>
      <c r="C47" s="125">
        <f>SUM(D47:S47)-N47-O47-P47</f>
        <v>77658</v>
      </c>
      <c r="D47" s="125">
        <v>2336</v>
      </c>
      <c r="E47" s="125">
        <v>1684</v>
      </c>
      <c r="F47" s="125">
        <v>0</v>
      </c>
      <c r="G47" s="125">
        <v>0</v>
      </c>
      <c r="H47" s="125">
        <v>0</v>
      </c>
      <c r="I47" s="125">
        <v>5311</v>
      </c>
      <c r="J47" s="125">
        <v>0</v>
      </c>
      <c r="K47" s="125">
        <v>0</v>
      </c>
      <c r="L47" s="125">
        <v>210</v>
      </c>
      <c r="M47" s="125">
        <v>1325</v>
      </c>
      <c r="N47" s="125">
        <v>0</v>
      </c>
      <c r="O47" s="125">
        <v>0</v>
      </c>
      <c r="P47" s="125">
        <v>305</v>
      </c>
      <c r="Q47" s="125">
        <v>64719</v>
      </c>
      <c r="R47" s="125">
        <v>0</v>
      </c>
      <c r="S47" s="125">
        <v>2073</v>
      </c>
      <c r="T47" s="125"/>
    </row>
    <row r="48" spans="1:20">
      <c r="A48" s="122">
        <v>30</v>
      </c>
      <c r="B48" s="123" t="s">
        <v>245</v>
      </c>
      <c r="C48" s="97">
        <f t="shared" ref="C48:C69" si="7">SUM(D48:T48)-N48-O48-P48</f>
        <v>14248</v>
      </c>
      <c r="D48" s="97">
        <v>200</v>
      </c>
      <c r="E48" s="97">
        <v>0</v>
      </c>
      <c r="F48" s="158"/>
      <c r="G48" s="158"/>
      <c r="H48" s="97">
        <v>0</v>
      </c>
      <c r="I48" s="97">
        <v>0</v>
      </c>
      <c r="J48" s="97">
        <v>0</v>
      </c>
      <c r="K48" s="97">
        <v>0</v>
      </c>
      <c r="L48" s="97">
        <v>63</v>
      </c>
      <c r="M48" s="97">
        <v>85</v>
      </c>
      <c r="N48" s="97">
        <v>0</v>
      </c>
      <c r="O48" s="97">
        <v>0</v>
      </c>
      <c r="P48" s="158">
        <v>85</v>
      </c>
      <c r="Q48" s="97">
        <v>12613</v>
      </c>
      <c r="R48" s="97">
        <v>0</v>
      </c>
      <c r="S48" s="97">
        <v>1287</v>
      </c>
      <c r="T48" s="97"/>
    </row>
    <row r="49" spans="1:20">
      <c r="A49" s="122">
        <v>31</v>
      </c>
      <c r="B49" s="123" t="s">
        <v>246</v>
      </c>
      <c r="C49" s="97">
        <f t="shared" si="7"/>
        <v>16555</v>
      </c>
      <c r="D49" s="97">
        <v>760</v>
      </c>
      <c r="E49" s="97">
        <v>0</v>
      </c>
      <c r="F49" s="158"/>
      <c r="G49" s="158"/>
      <c r="H49" s="97">
        <v>0</v>
      </c>
      <c r="I49" s="97">
        <v>3960</v>
      </c>
      <c r="J49" s="97">
        <v>0</v>
      </c>
      <c r="K49" s="97">
        <v>0</v>
      </c>
      <c r="L49" s="97">
        <v>72</v>
      </c>
      <c r="M49" s="97">
        <v>50</v>
      </c>
      <c r="N49" s="97">
        <v>0</v>
      </c>
      <c r="O49" s="97">
        <v>0</v>
      </c>
      <c r="P49" s="158">
        <v>50</v>
      </c>
      <c r="Q49" s="97">
        <v>11533</v>
      </c>
      <c r="R49" s="97">
        <v>0</v>
      </c>
      <c r="S49" s="97">
        <v>180</v>
      </c>
      <c r="T49" s="97"/>
    </row>
    <row r="50" spans="1:20">
      <c r="A50" s="122">
        <v>32</v>
      </c>
      <c r="B50" s="123" t="s">
        <v>247</v>
      </c>
      <c r="C50" s="97">
        <f t="shared" si="7"/>
        <v>8992</v>
      </c>
      <c r="D50" s="97">
        <v>490</v>
      </c>
      <c r="E50" s="97">
        <v>0</v>
      </c>
      <c r="F50" s="97"/>
      <c r="G50" s="97"/>
      <c r="H50" s="97">
        <v>0</v>
      </c>
      <c r="I50" s="97">
        <v>0</v>
      </c>
      <c r="J50" s="97">
        <v>0</v>
      </c>
      <c r="K50" s="97">
        <v>0</v>
      </c>
      <c r="L50" s="97">
        <v>60</v>
      </c>
      <c r="M50" s="97">
        <v>80</v>
      </c>
      <c r="N50" s="97">
        <v>0</v>
      </c>
      <c r="O50" s="97">
        <v>0</v>
      </c>
      <c r="P50" s="97">
        <v>80</v>
      </c>
      <c r="Q50" s="97">
        <v>8062</v>
      </c>
      <c r="R50" s="97">
        <v>0</v>
      </c>
      <c r="S50" s="97">
        <v>300</v>
      </c>
      <c r="T50" s="97"/>
    </row>
    <row r="51" spans="1:20">
      <c r="A51" s="122">
        <v>33</v>
      </c>
      <c r="B51" s="123" t="s">
        <v>248</v>
      </c>
      <c r="C51" s="97">
        <f t="shared" si="7"/>
        <v>9383</v>
      </c>
      <c r="D51" s="97">
        <v>260</v>
      </c>
      <c r="E51" s="97">
        <v>0</v>
      </c>
      <c r="F51" s="158"/>
      <c r="G51" s="158"/>
      <c r="H51" s="97">
        <v>0</v>
      </c>
      <c r="I51" s="97">
        <v>0</v>
      </c>
      <c r="J51" s="97">
        <v>0</v>
      </c>
      <c r="K51" s="97">
        <v>0</v>
      </c>
      <c r="L51" s="97">
        <v>0</v>
      </c>
      <c r="M51" s="97">
        <v>1020</v>
      </c>
      <c r="N51" s="97">
        <v>0</v>
      </c>
      <c r="O51" s="97">
        <v>0</v>
      </c>
      <c r="P51" s="97">
        <v>0</v>
      </c>
      <c r="Q51" s="97">
        <v>8103</v>
      </c>
      <c r="R51" s="97">
        <v>0</v>
      </c>
      <c r="S51" s="97">
        <v>0</v>
      </c>
      <c r="T51" s="97"/>
    </row>
    <row r="52" spans="1:20">
      <c r="A52" s="122">
        <v>34</v>
      </c>
      <c r="B52" s="123" t="s">
        <v>249</v>
      </c>
      <c r="C52" s="97">
        <f t="shared" si="7"/>
        <v>2589</v>
      </c>
      <c r="D52" s="97">
        <v>0</v>
      </c>
      <c r="E52" s="97">
        <v>0</v>
      </c>
      <c r="F52" s="158"/>
      <c r="G52" s="158"/>
      <c r="H52" s="97">
        <v>0</v>
      </c>
      <c r="I52" s="97">
        <v>0</v>
      </c>
      <c r="J52" s="97">
        <v>0</v>
      </c>
      <c r="K52" s="97">
        <v>0</v>
      </c>
      <c r="L52" s="97">
        <v>0</v>
      </c>
      <c r="M52" s="97">
        <v>0</v>
      </c>
      <c r="N52" s="97">
        <v>0</v>
      </c>
      <c r="O52" s="97">
        <v>0</v>
      </c>
      <c r="P52" s="158">
        <v>0</v>
      </c>
      <c r="Q52" s="97">
        <v>2589</v>
      </c>
      <c r="R52" s="97">
        <v>0</v>
      </c>
      <c r="S52" s="97">
        <v>0</v>
      </c>
      <c r="T52" s="97"/>
    </row>
    <row r="53" spans="1:20">
      <c r="A53" s="122">
        <v>35</v>
      </c>
      <c r="B53" s="123" t="s">
        <v>250</v>
      </c>
      <c r="C53" s="97">
        <f t="shared" si="7"/>
        <v>2913</v>
      </c>
      <c r="D53" s="97">
        <v>0</v>
      </c>
      <c r="E53" s="97">
        <v>1349</v>
      </c>
      <c r="F53" s="158"/>
      <c r="G53" s="158"/>
      <c r="H53" s="97">
        <v>0</v>
      </c>
      <c r="I53" s="97">
        <v>0</v>
      </c>
      <c r="J53" s="97">
        <v>0</v>
      </c>
      <c r="K53" s="97">
        <v>0</v>
      </c>
      <c r="L53" s="97">
        <v>0</v>
      </c>
      <c r="M53" s="97">
        <v>0</v>
      </c>
      <c r="N53" s="97">
        <v>0</v>
      </c>
      <c r="O53" s="97">
        <v>0</v>
      </c>
      <c r="P53" s="158">
        <v>0</v>
      </c>
      <c r="Q53" s="97">
        <v>1564</v>
      </c>
      <c r="R53" s="97">
        <v>0</v>
      </c>
      <c r="S53" s="97">
        <v>0</v>
      </c>
      <c r="T53" s="97"/>
    </row>
    <row r="54" spans="1:20">
      <c r="A54" s="122">
        <v>36</v>
      </c>
      <c r="B54" s="123" t="s">
        <v>251</v>
      </c>
      <c r="C54" s="97">
        <f t="shared" si="7"/>
        <v>1557</v>
      </c>
      <c r="D54" s="97">
        <v>0</v>
      </c>
      <c r="E54" s="97">
        <v>0</v>
      </c>
      <c r="F54" s="158"/>
      <c r="G54" s="158"/>
      <c r="H54" s="97">
        <v>0</v>
      </c>
      <c r="I54" s="97">
        <v>0</v>
      </c>
      <c r="J54" s="97">
        <v>0</v>
      </c>
      <c r="K54" s="97">
        <v>0</v>
      </c>
      <c r="L54" s="97">
        <v>0</v>
      </c>
      <c r="M54" s="97">
        <v>0</v>
      </c>
      <c r="N54" s="97">
        <v>0</v>
      </c>
      <c r="O54" s="97">
        <v>0</v>
      </c>
      <c r="P54" s="158">
        <v>0</v>
      </c>
      <c r="Q54" s="97">
        <v>1311</v>
      </c>
      <c r="R54" s="97">
        <v>0</v>
      </c>
      <c r="S54" s="97">
        <v>246</v>
      </c>
      <c r="T54" s="97"/>
    </row>
    <row r="55" spans="1:20">
      <c r="A55" s="122">
        <v>37</v>
      </c>
      <c r="B55" s="123" t="s">
        <v>252</v>
      </c>
      <c r="C55" s="97">
        <f t="shared" si="7"/>
        <v>4670</v>
      </c>
      <c r="D55" s="97">
        <v>520</v>
      </c>
      <c r="E55" s="97">
        <v>0</v>
      </c>
      <c r="F55" s="158"/>
      <c r="G55" s="158"/>
      <c r="H55" s="97">
        <v>0</v>
      </c>
      <c r="I55" s="97">
        <v>0</v>
      </c>
      <c r="J55" s="97">
        <v>0</v>
      </c>
      <c r="K55" s="97">
        <v>0</v>
      </c>
      <c r="L55" s="97">
        <v>0</v>
      </c>
      <c r="M55" s="97">
        <v>40</v>
      </c>
      <c r="N55" s="97">
        <v>0</v>
      </c>
      <c r="O55" s="97">
        <v>0</v>
      </c>
      <c r="P55" s="158">
        <v>40</v>
      </c>
      <c r="Q55" s="97">
        <v>4110</v>
      </c>
      <c r="R55" s="97">
        <v>0</v>
      </c>
      <c r="S55" s="97">
        <v>0</v>
      </c>
      <c r="T55" s="97"/>
    </row>
    <row r="56" spans="1:20">
      <c r="A56" s="122">
        <v>38</v>
      </c>
      <c r="B56" s="123" t="s">
        <v>253</v>
      </c>
      <c r="C56" s="97">
        <f t="shared" si="7"/>
        <v>4091</v>
      </c>
      <c r="D56" s="97">
        <v>0</v>
      </c>
      <c r="E56" s="97">
        <v>0</v>
      </c>
      <c r="F56" s="158"/>
      <c r="G56" s="158"/>
      <c r="H56" s="97">
        <v>0</v>
      </c>
      <c r="I56" s="97">
        <v>1351</v>
      </c>
      <c r="J56" s="97">
        <v>0</v>
      </c>
      <c r="K56" s="97">
        <v>0</v>
      </c>
      <c r="L56" s="97">
        <v>0</v>
      </c>
      <c r="M56" s="97">
        <v>50</v>
      </c>
      <c r="N56" s="97">
        <v>0</v>
      </c>
      <c r="O56" s="97">
        <v>0</v>
      </c>
      <c r="P56" s="158">
        <v>50</v>
      </c>
      <c r="Q56" s="97">
        <v>2690</v>
      </c>
      <c r="R56" s="97">
        <v>0</v>
      </c>
      <c r="S56" s="97">
        <v>0</v>
      </c>
      <c r="T56" s="97"/>
    </row>
    <row r="57" spans="1:20">
      <c r="A57" s="122">
        <v>39</v>
      </c>
      <c r="B57" s="123" t="s">
        <v>254</v>
      </c>
      <c r="C57" s="97">
        <f t="shared" si="7"/>
        <v>1554</v>
      </c>
      <c r="D57" s="97">
        <v>0</v>
      </c>
      <c r="E57" s="97">
        <v>0</v>
      </c>
      <c r="F57" s="158"/>
      <c r="G57" s="158"/>
      <c r="H57" s="97">
        <v>0</v>
      </c>
      <c r="I57" s="97">
        <v>0</v>
      </c>
      <c r="J57" s="97">
        <v>0</v>
      </c>
      <c r="K57" s="97">
        <v>0</v>
      </c>
      <c r="L57" s="97">
        <v>0</v>
      </c>
      <c r="M57" s="97">
        <v>0</v>
      </c>
      <c r="N57" s="97">
        <v>0</v>
      </c>
      <c r="O57" s="97">
        <v>0</v>
      </c>
      <c r="P57" s="158">
        <v>0</v>
      </c>
      <c r="Q57" s="97">
        <v>1554</v>
      </c>
      <c r="R57" s="97">
        <v>0</v>
      </c>
      <c r="S57" s="97">
        <v>0</v>
      </c>
      <c r="T57" s="97"/>
    </row>
    <row r="58" spans="1:20">
      <c r="A58" s="122">
        <v>40</v>
      </c>
      <c r="B58" s="123" t="s">
        <v>255</v>
      </c>
      <c r="C58" s="97">
        <f t="shared" si="7"/>
        <v>1266</v>
      </c>
      <c r="D58" s="97">
        <v>0</v>
      </c>
      <c r="E58" s="97">
        <v>0</v>
      </c>
      <c r="F58" s="158"/>
      <c r="G58" s="158"/>
      <c r="H58" s="97">
        <v>0</v>
      </c>
      <c r="I58" s="97">
        <v>0</v>
      </c>
      <c r="J58" s="97">
        <v>0</v>
      </c>
      <c r="K58" s="97">
        <v>0</v>
      </c>
      <c r="L58" s="97">
        <v>0</v>
      </c>
      <c r="M58" s="97">
        <v>0</v>
      </c>
      <c r="N58" s="97">
        <v>0</v>
      </c>
      <c r="O58" s="97">
        <v>0</v>
      </c>
      <c r="P58" s="158">
        <v>0</v>
      </c>
      <c r="Q58" s="97">
        <v>1266</v>
      </c>
      <c r="R58" s="97">
        <v>0</v>
      </c>
      <c r="S58" s="97">
        <v>0</v>
      </c>
      <c r="T58" s="97"/>
    </row>
    <row r="59" spans="1:20">
      <c r="A59" s="122">
        <v>41</v>
      </c>
      <c r="B59" s="123" t="s">
        <v>256</v>
      </c>
      <c r="C59" s="97">
        <f t="shared" si="7"/>
        <v>3363</v>
      </c>
      <c r="D59" s="97">
        <v>106</v>
      </c>
      <c r="E59" s="97">
        <v>0</v>
      </c>
      <c r="F59" s="158"/>
      <c r="G59" s="158"/>
      <c r="H59" s="97">
        <v>0</v>
      </c>
      <c r="I59" s="97">
        <v>0</v>
      </c>
      <c r="J59" s="97">
        <v>0</v>
      </c>
      <c r="K59" s="97">
        <v>0</v>
      </c>
      <c r="L59" s="97">
        <v>0</v>
      </c>
      <c r="M59" s="97">
        <v>0</v>
      </c>
      <c r="N59" s="97">
        <v>0</v>
      </c>
      <c r="O59" s="97">
        <v>0</v>
      </c>
      <c r="P59" s="158">
        <v>0</v>
      </c>
      <c r="Q59" s="97">
        <v>3257</v>
      </c>
      <c r="R59" s="97">
        <v>0</v>
      </c>
      <c r="S59" s="97">
        <v>0</v>
      </c>
      <c r="T59" s="97"/>
    </row>
    <row r="60" spans="1:20">
      <c r="A60" s="122">
        <v>42</v>
      </c>
      <c r="B60" s="123" t="s">
        <v>257</v>
      </c>
      <c r="C60" s="97">
        <f t="shared" si="7"/>
        <v>700</v>
      </c>
      <c r="D60" s="97">
        <v>0</v>
      </c>
      <c r="E60" s="97">
        <v>0</v>
      </c>
      <c r="F60" s="158"/>
      <c r="G60" s="158"/>
      <c r="H60" s="97">
        <v>0</v>
      </c>
      <c r="I60" s="97">
        <v>0</v>
      </c>
      <c r="J60" s="97">
        <v>0</v>
      </c>
      <c r="K60" s="97">
        <v>0</v>
      </c>
      <c r="L60" s="97">
        <v>15</v>
      </c>
      <c r="M60" s="97">
        <v>0</v>
      </c>
      <c r="N60" s="97">
        <v>0</v>
      </c>
      <c r="O60" s="97">
        <v>0</v>
      </c>
      <c r="P60" s="158">
        <v>0</v>
      </c>
      <c r="Q60" s="97">
        <v>685</v>
      </c>
      <c r="R60" s="97">
        <v>0</v>
      </c>
      <c r="S60" s="97">
        <v>0</v>
      </c>
      <c r="T60" s="97"/>
    </row>
    <row r="61" spans="1:20">
      <c r="A61" s="122">
        <v>43</v>
      </c>
      <c r="B61" s="123" t="s">
        <v>258</v>
      </c>
      <c r="C61" s="97">
        <f t="shared" si="7"/>
        <v>707</v>
      </c>
      <c r="D61" s="97">
        <v>0</v>
      </c>
      <c r="E61" s="97">
        <v>0</v>
      </c>
      <c r="F61" s="158"/>
      <c r="G61" s="158"/>
      <c r="H61" s="97">
        <v>0</v>
      </c>
      <c r="I61" s="97">
        <v>0</v>
      </c>
      <c r="J61" s="97">
        <v>0</v>
      </c>
      <c r="K61" s="97">
        <v>0</v>
      </c>
      <c r="L61" s="97">
        <v>0</v>
      </c>
      <c r="M61" s="97">
        <v>0</v>
      </c>
      <c r="N61" s="97">
        <v>0</v>
      </c>
      <c r="O61" s="97">
        <v>0</v>
      </c>
      <c r="P61" s="158">
        <v>0</v>
      </c>
      <c r="Q61" s="97">
        <v>707</v>
      </c>
      <c r="R61" s="97">
        <v>0</v>
      </c>
      <c r="S61" s="97">
        <v>0</v>
      </c>
      <c r="T61" s="97"/>
    </row>
    <row r="62" spans="1:20">
      <c r="A62" s="122">
        <v>44</v>
      </c>
      <c r="B62" s="123" t="s">
        <v>259</v>
      </c>
      <c r="C62" s="97">
        <f t="shared" si="7"/>
        <v>1017</v>
      </c>
      <c r="D62" s="97">
        <v>0</v>
      </c>
      <c r="E62" s="97">
        <v>0</v>
      </c>
      <c r="F62" s="158"/>
      <c r="G62" s="158"/>
      <c r="H62" s="97">
        <v>0</v>
      </c>
      <c r="I62" s="97">
        <v>0</v>
      </c>
      <c r="J62" s="97">
        <v>0</v>
      </c>
      <c r="K62" s="97">
        <v>0</v>
      </c>
      <c r="L62" s="97">
        <v>0</v>
      </c>
      <c r="M62" s="97">
        <v>0</v>
      </c>
      <c r="N62" s="97">
        <v>0</v>
      </c>
      <c r="O62" s="97">
        <v>0</v>
      </c>
      <c r="P62" s="158">
        <v>0</v>
      </c>
      <c r="Q62" s="97">
        <v>957</v>
      </c>
      <c r="R62" s="97">
        <v>0</v>
      </c>
      <c r="S62" s="97">
        <v>60</v>
      </c>
      <c r="T62" s="97"/>
    </row>
    <row r="63" spans="1:20">
      <c r="A63" s="122">
        <v>45</v>
      </c>
      <c r="B63" s="123" t="s">
        <v>260</v>
      </c>
      <c r="C63" s="97">
        <f t="shared" si="7"/>
        <v>929</v>
      </c>
      <c r="D63" s="97">
        <v>0</v>
      </c>
      <c r="E63" s="97">
        <v>0</v>
      </c>
      <c r="F63" s="158"/>
      <c r="G63" s="158"/>
      <c r="H63" s="97">
        <v>0</v>
      </c>
      <c r="I63" s="97">
        <v>0</v>
      </c>
      <c r="J63" s="97">
        <v>0</v>
      </c>
      <c r="K63" s="97">
        <v>0</v>
      </c>
      <c r="L63" s="97">
        <v>0</v>
      </c>
      <c r="M63" s="97">
        <v>0</v>
      </c>
      <c r="N63" s="97">
        <v>0</v>
      </c>
      <c r="O63" s="97">
        <v>0</v>
      </c>
      <c r="P63" s="158">
        <v>0</v>
      </c>
      <c r="Q63" s="97">
        <v>929</v>
      </c>
      <c r="R63" s="97">
        <v>0</v>
      </c>
      <c r="S63" s="97">
        <v>0</v>
      </c>
      <c r="T63" s="97"/>
    </row>
    <row r="64" spans="1:20">
      <c r="A64" s="122">
        <v>46</v>
      </c>
      <c r="B64" s="123" t="s">
        <v>261</v>
      </c>
      <c r="C64" s="97">
        <f t="shared" si="7"/>
        <v>596</v>
      </c>
      <c r="D64" s="97">
        <v>0</v>
      </c>
      <c r="E64" s="97">
        <v>0</v>
      </c>
      <c r="F64" s="158"/>
      <c r="G64" s="158"/>
      <c r="H64" s="97">
        <v>0</v>
      </c>
      <c r="I64" s="97">
        <v>0</v>
      </c>
      <c r="J64" s="97">
        <v>0</v>
      </c>
      <c r="K64" s="97">
        <v>0</v>
      </c>
      <c r="L64" s="97">
        <v>0</v>
      </c>
      <c r="M64" s="97">
        <v>0</v>
      </c>
      <c r="N64" s="97">
        <v>0</v>
      </c>
      <c r="O64" s="97">
        <v>0</v>
      </c>
      <c r="P64" s="158">
        <v>0</v>
      </c>
      <c r="Q64" s="97">
        <v>596</v>
      </c>
      <c r="R64" s="97">
        <v>0</v>
      </c>
      <c r="S64" s="97">
        <v>0</v>
      </c>
      <c r="T64" s="97"/>
    </row>
    <row r="65" spans="1:20">
      <c r="A65" s="122">
        <v>47</v>
      </c>
      <c r="B65" s="126" t="s">
        <v>262</v>
      </c>
      <c r="C65" s="97">
        <f t="shared" si="7"/>
        <v>801</v>
      </c>
      <c r="D65" s="97">
        <v>0</v>
      </c>
      <c r="E65" s="97">
        <v>65</v>
      </c>
      <c r="F65" s="158"/>
      <c r="G65" s="158"/>
      <c r="H65" s="97">
        <v>0</v>
      </c>
      <c r="I65" s="97">
        <v>0</v>
      </c>
      <c r="J65" s="97">
        <v>0</v>
      </c>
      <c r="K65" s="97">
        <v>0</v>
      </c>
      <c r="L65" s="97">
        <v>0</v>
      </c>
      <c r="M65" s="97">
        <v>0</v>
      </c>
      <c r="N65" s="97">
        <v>0</v>
      </c>
      <c r="O65" s="97">
        <v>0</v>
      </c>
      <c r="P65" s="158">
        <v>0</v>
      </c>
      <c r="Q65" s="97">
        <v>736</v>
      </c>
      <c r="R65" s="97">
        <v>0</v>
      </c>
      <c r="S65" s="97">
        <v>0</v>
      </c>
      <c r="T65" s="97"/>
    </row>
    <row r="66" spans="1:20">
      <c r="A66" s="122">
        <v>48</v>
      </c>
      <c r="B66" s="126" t="s">
        <v>263</v>
      </c>
      <c r="C66" s="97">
        <f t="shared" si="7"/>
        <v>606</v>
      </c>
      <c r="D66" s="97">
        <v>0</v>
      </c>
      <c r="E66" s="97">
        <v>0</v>
      </c>
      <c r="F66" s="158"/>
      <c r="G66" s="158"/>
      <c r="H66" s="97">
        <v>0</v>
      </c>
      <c r="I66" s="97">
        <v>0</v>
      </c>
      <c r="J66" s="97">
        <v>0</v>
      </c>
      <c r="K66" s="97">
        <v>0</v>
      </c>
      <c r="L66" s="97">
        <v>0</v>
      </c>
      <c r="M66" s="97">
        <v>0</v>
      </c>
      <c r="N66" s="97">
        <v>0</v>
      </c>
      <c r="O66" s="97">
        <v>0</v>
      </c>
      <c r="P66" s="158">
        <v>0</v>
      </c>
      <c r="Q66" s="97">
        <v>606</v>
      </c>
      <c r="R66" s="97">
        <v>0</v>
      </c>
      <c r="S66" s="97">
        <v>0</v>
      </c>
      <c r="T66" s="97"/>
    </row>
    <row r="67" spans="1:20">
      <c r="A67" s="122">
        <v>49</v>
      </c>
      <c r="B67" s="123" t="s">
        <v>264</v>
      </c>
      <c r="C67" s="97">
        <f t="shared" si="7"/>
        <v>771</v>
      </c>
      <c r="D67" s="97">
        <v>0</v>
      </c>
      <c r="E67" s="97">
        <v>0</v>
      </c>
      <c r="F67" s="158"/>
      <c r="G67" s="158"/>
      <c r="H67" s="97">
        <v>0</v>
      </c>
      <c r="I67" s="97">
        <v>0</v>
      </c>
      <c r="J67" s="97">
        <v>0</v>
      </c>
      <c r="K67" s="97">
        <v>0</v>
      </c>
      <c r="L67" s="97">
        <v>0</v>
      </c>
      <c r="M67" s="97">
        <v>0</v>
      </c>
      <c r="N67" s="97">
        <v>0</v>
      </c>
      <c r="O67" s="97">
        <v>0</v>
      </c>
      <c r="P67" s="158">
        <v>0</v>
      </c>
      <c r="Q67" s="97">
        <v>771</v>
      </c>
      <c r="R67" s="97">
        <v>0</v>
      </c>
      <c r="S67" s="97">
        <v>0</v>
      </c>
      <c r="T67" s="97"/>
    </row>
    <row r="68" spans="1:20">
      <c r="A68" s="122">
        <v>50</v>
      </c>
      <c r="B68" s="127" t="s">
        <v>265</v>
      </c>
      <c r="C68" s="97">
        <f t="shared" si="7"/>
        <v>80</v>
      </c>
      <c r="D68" s="97">
        <v>0</v>
      </c>
      <c r="E68" s="97">
        <v>0</v>
      </c>
      <c r="F68" s="158"/>
      <c r="G68" s="158"/>
      <c r="H68" s="97">
        <v>0</v>
      </c>
      <c r="I68" s="97">
        <v>0</v>
      </c>
      <c r="J68" s="97">
        <v>0</v>
      </c>
      <c r="K68" s="97">
        <v>0</v>
      </c>
      <c r="L68" s="97">
        <v>0</v>
      </c>
      <c r="M68" s="97">
        <v>0</v>
      </c>
      <c r="N68" s="97">
        <v>0</v>
      </c>
      <c r="O68" s="97">
        <v>0</v>
      </c>
      <c r="P68" s="158">
        <v>0</v>
      </c>
      <c r="Q68" s="97">
        <v>80</v>
      </c>
      <c r="R68" s="97">
        <v>0</v>
      </c>
      <c r="S68" s="97">
        <v>0</v>
      </c>
      <c r="T68" s="97"/>
    </row>
    <row r="69" spans="1:20">
      <c r="A69" s="122">
        <v>51</v>
      </c>
      <c r="B69" s="127" t="s">
        <v>266</v>
      </c>
      <c r="C69" s="97">
        <f t="shared" si="7"/>
        <v>270</v>
      </c>
      <c r="D69" s="97">
        <v>0</v>
      </c>
      <c r="E69" s="97">
        <v>270</v>
      </c>
      <c r="F69" s="158"/>
      <c r="G69" s="158"/>
      <c r="H69" s="97">
        <v>0</v>
      </c>
      <c r="I69" s="97">
        <v>0</v>
      </c>
      <c r="J69" s="97">
        <v>0</v>
      </c>
      <c r="K69" s="97">
        <v>0</v>
      </c>
      <c r="L69" s="97">
        <v>0</v>
      </c>
      <c r="M69" s="97">
        <v>0</v>
      </c>
      <c r="N69" s="97"/>
      <c r="O69" s="97"/>
      <c r="P69" s="158">
        <v>0</v>
      </c>
      <c r="Q69" s="97">
        <v>0</v>
      </c>
      <c r="R69" s="97">
        <v>0</v>
      </c>
      <c r="S69" s="97">
        <v>0</v>
      </c>
      <c r="T69" s="97"/>
    </row>
    <row r="70" spans="1:20">
      <c r="A70" s="124" t="s">
        <v>8</v>
      </c>
      <c r="B70" s="125" t="s">
        <v>268</v>
      </c>
      <c r="C70" s="125">
        <f>SUM(C71:C73)</f>
        <v>229061</v>
      </c>
      <c r="D70" s="125">
        <f>SUM(D71:D73)</f>
        <v>43</v>
      </c>
      <c r="E70" s="125">
        <f t="shared" ref="E70:S70" si="8">SUM(E71:E73)</f>
        <v>0</v>
      </c>
      <c r="F70" s="125">
        <f t="shared" si="8"/>
        <v>140000</v>
      </c>
      <c r="G70" s="125">
        <f t="shared" si="8"/>
        <v>36226</v>
      </c>
      <c r="H70" s="125">
        <f t="shared" si="8"/>
        <v>0</v>
      </c>
      <c r="I70" s="125">
        <f t="shared" si="8"/>
        <v>0</v>
      </c>
      <c r="J70" s="125">
        <f t="shared" si="8"/>
        <v>0</v>
      </c>
      <c r="K70" s="125">
        <f t="shared" si="8"/>
        <v>0</v>
      </c>
      <c r="L70" s="125">
        <f t="shared" si="8"/>
        <v>0</v>
      </c>
      <c r="M70" s="125">
        <f t="shared" si="8"/>
        <v>4500</v>
      </c>
      <c r="N70" s="125">
        <f t="shared" si="8"/>
        <v>0</v>
      </c>
      <c r="O70" s="125">
        <f t="shared" si="8"/>
        <v>0</v>
      </c>
      <c r="P70" s="125">
        <f t="shared" si="8"/>
        <v>4500</v>
      </c>
      <c r="Q70" s="125">
        <f t="shared" si="8"/>
        <v>0</v>
      </c>
      <c r="R70" s="125">
        <f t="shared" si="8"/>
        <v>48292</v>
      </c>
      <c r="S70" s="125">
        <f t="shared" si="8"/>
        <v>0</v>
      </c>
      <c r="T70" s="125"/>
    </row>
    <row r="71" spans="1:20">
      <c r="A71" s="122">
        <v>52</v>
      </c>
      <c r="B71" s="97" t="s">
        <v>269</v>
      </c>
      <c r="C71" s="97">
        <f>SUM(D71:T71)-N71-O71-P71</f>
        <v>89061</v>
      </c>
      <c r="D71" s="97">
        <v>43</v>
      </c>
      <c r="E71" s="97"/>
      <c r="F71" s="158"/>
      <c r="G71" s="158">
        <v>36226</v>
      </c>
      <c r="H71" s="97"/>
      <c r="I71" s="97"/>
      <c r="J71" s="97"/>
      <c r="K71" s="97"/>
      <c r="L71" s="97"/>
      <c r="M71" s="97">
        <v>4500</v>
      </c>
      <c r="N71" s="97"/>
      <c r="O71" s="97"/>
      <c r="P71" s="158">
        <v>4500</v>
      </c>
      <c r="Q71" s="97"/>
      <c r="R71" s="97">
        <v>48292</v>
      </c>
      <c r="S71" s="97"/>
      <c r="T71" s="97"/>
    </row>
    <row r="72" spans="1:20" ht="15.6">
      <c r="A72" s="122">
        <v>53</v>
      </c>
      <c r="B72" s="92" t="s">
        <v>270</v>
      </c>
      <c r="C72" s="97">
        <f>SUM(D72:T72)-N72-O72-P72</f>
        <v>42000</v>
      </c>
      <c r="D72" s="97"/>
      <c r="E72" s="97"/>
      <c r="F72" s="158">
        <v>42000</v>
      </c>
      <c r="G72" s="158"/>
      <c r="H72" s="97"/>
      <c r="I72" s="97"/>
      <c r="J72" s="97"/>
      <c r="K72" s="97"/>
      <c r="L72" s="97"/>
      <c r="M72" s="97"/>
      <c r="N72" s="97"/>
      <c r="O72" s="97"/>
      <c r="P72" s="158"/>
      <c r="Q72" s="97"/>
      <c r="R72" s="97"/>
      <c r="S72" s="97"/>
      <c r="T72" s="97"/>
    </row>
    <row r="73" spans="1:20">
      <c r="A73" s="122">
        <v>54</v>
      </c>
      <c r="B73" s="97" t="s">
        <v>271</v>
      </c>
      <c r="C73" s="97">
        <f>SUM(D73:T73)-N73-O73-P73</f>
        <v>98000</v>
      </c>
      <c r="D73" s="97"/>
      <c r="E73" s="97"/>
      <c r="F73" s="158">
        <v>98000</v>
      </c>
      <c r="G73" s="158"/>
      <c r="H73" s="97"/>
      <c r="I73" s="97"/>
      <c r="J73" s="97"/>
      <c r="K73" s="97"/>
      <c r="L73" s="97"/>
      <c r="M73" s="97"/>
      <c r="N73" s="97"/>
      <c r="O73" s="97"/>
      <c r="P73" s="158"/>
      <c r="Q73" s="97"/>
      <c r="R73" s="97"/>
      <c r="S73" s="97"/>
      <c r="T73" s="97"/>
    </row>
    <row r="74" spans="1:20">
      <c r="A74" s="124" t="s">
        <v>12</v>
      </c>
      <c r="B74" s="125" t="s">
        <v>273</v>
      </c>
      <c r="C74" s="125">
        <f t="shared" ref="C74" si="9">SUM(C75:C76)</f>
        <v>13115</v>
      </c>
      <c r="D74" s="125">
        <f>SUM(D75:D76)</f>
        <v>0</v>
      </c>
      <c r="E74" s="125">
        <f t="shared" ref="E74:S74" si="10">SUM(E75:E76)</f>
        <v>0</v>
      </c>
      <c r="F74" s="125">
        <f t="shared" si="10"/>
        <v>0</v>
      </c>
      <c r="G74" s="125">
        <f t="shared" si="10"/>
        <v>0</v>
      </c>
      <c r="H74" s="125">
        <f t="shared" si="10"/>
        <v>0</v>
      </c>
      <c r="I74" s="125">
        <f t="shared" si="10"/>
        <v>0</v>
      </c>
      <c r="J74" s="125">
        <f t="shared" si="10"/>
        <v>0</v>
      </c>
      <c r="K74" s="125">
        <f t="shared" si="10"/>
        <v>0</v>
      </c>
      <c r="L74" s="125">
        <f t="shared" si="10"/>
        <v>0</v>
      </c>
      <c r="M74" s="125">
        <f t="shared" si="10"/>
        <v>0</v>
      </c>
      <c r="N74" s="125">
        <f t="shared" si="10"/>
        <v>0</v>
      </c>
      <c r="O74" s="125">
        <f t="shared" si="10"/>
        <v>0</v>
      </c>
      <c r="P74" s="125">
        <f t="shared" si="10"/>
        <v>0</v>
      </c>
      <c r="Q74" s="125">
        <f t="shared" si="10"/>
        <v>0</v>
      </c>
      <c r="R74" s="125">
        <f t="shared" si="10"/>
        <v>0</v>
      </c>
      <c r="S74" s="125">
        <f t="shared" si="10"/>
        <v>13115</v>
      </c>
      <c r="T74" s="125"/>
    </row>
    <row r="75" spans="1:20">
      <c r="A75" s="122">
        <v>55</v>
      </c>
      <c r="B75" s="97" t="s">
        <v>274</v>
      </c>
      <c r="C75" s="97">
        <f>SUM(D75:T75)-N75-O75-P75</f>
        <v>11101</v>
      </c>
      <c r="D75" s="97"/>
      <c r="E75" s="97"/>
      <c r="F75" s="158"/>
      <c r="G75" s="158"/>
      <c r="H75" s="97"/>
      <c r="I75" s="97"/>
      <c r="J75" s="97"/>
      <c r="K75" s="97"/>
      <c r="L75" s="97"/>
      <c r="M75" s="97"/>
      <c r="N75" s="97"/>
      <c r="O75" s="97"/>
      <c r="P75" s="158"/>
      <c r="Q75" s="97"/>
      <c r="R75" s="97"/>
      <c r="S75" s="97">
        <v>11101</v>
      </c>
      <c r="T75" s="97"/>
    </row>
    <row r="76" spans="1:20">
      <c r="A76" s="122">
        <v>56</v>
      </c>
      <c r="B76" s="97" t="s">
        <v>275</v>
      </c>
      <c r="C76" s="97">
        <f>SUM(D76:T76)-N76-O76-P76</f>
        <v>2014</v>
      </c>
      <c r="D76" s="97"/>
      <c r="E76" s="97"/>
      <c r="F76" s="158"/>
      <c r="G76" s="158"/>
      <c r="H76" s="97"/>
      <c r="I76" s="97"/>
      <c r="J76" s="97"/>
      <c r="K76" s="97"/>
      <c r="L76" s="97"/>
      <c r="M76" s="97"/>
      <c r="N76" s="97"/>
      <c r="O76" s="97"/>
      <c r="P76" s="158"/>
      <c r="Q76" s="97"/>
      <c r="R76" s="97"/>
      <c r="S76" s="97">
        <v>2014</v>
      </c>
      <c r="T76" s="97"/>
    </row>
    <row r="77" spans="1:20">
      <c r="A77" s="124" t="s">
        <v>40</v>
      </c>
      <c r="B77" s="125" t="s">
        <v>277</v>
      </c>
      <c r="C77" s="125">
        <f>SUM(C78:C82)</f>
        <v>818637</v>
      </c>
      <c r="D77" s="125">
        <f t="shared" ref="D77:T77" si="11">SUM(D78:D82)</f>
        <v>0</v>
      </c>
      <c r="E77" s="125">
        <f t="shared" si="11"/>
        <v>0</v>
      </c>
      <c r="F77" s="125">
        <f t="shared" si="11"/>
        <v>0</v>
      </c>
      <c r="G77" s="125">
        <f t="shared" si="11"/>
        <v>0</v>
      </c>
      <c r="H77" s="125">
        <f t="shared" si="11"/>
        <v>512551</v>
      </c>
      <c r="I77" s="125">
        <f t="shared" si="11"/>
        <v>0</v>
      </c>
      <c r="J77" s="125">
        <f t="shared" si="11"/>
        <v>0</v>
      </c>
      <c r="K77" s="125">
        <f t="shared" si="11"/>
        <v>0</v>
      </c>
      <c r="L77" s="125">
        <f t="shared" si="11"/>
        <v>0</v>
      </c>
      <c r="M77" s="125">
        <f t="shared" si="11"/>
        <v>234173</v>
      </c>
      <c r="N77" s="125">
        <f t="shared" si="11"/>
        <v>0</v>
      </c>
      <c r="O77" s="125">
        <f t="shared" si="11"/>
        <v>0</v>
      </c>
      <c r="P77" s="125">
        <f t="shared" si="11"/>
        <v>0</v>
      </c>
      <c r="Q77" s="125">
        <f t="shared" si="11"/>
        <v>0</v>
      </c>
      <c r="R77" s="125">
        <f t="shared" si="11"/>
        <v>0</v>
      </c>
      <c r="S77" s="125">
        <f t="shared" si="11"/>
        <v>0</v>
      </c>
      <c r="T77" s="125">
        <f t="shared" si="11"/>
        <v>71913</v>
      </c>
    </row>
    <row r="78" spans="1:20">
      <c r="A78" s="122">
        <v>57</v>
      </c>
      <c r="B78" s="97" t="s">
        <v>278</v>
      </c>
      <c r="C78" s="97">
        <f>SUM(D78:T78)-N78-O78-P78</f>
        <v>117034</v>
      </c>
      <c r="D78" s="97"/>
      <c r="E78" s="97"/>
      <c r="F78" s="158"/>
      <c r="G78" s="158"/>
      <c r="H78" s="97"/>
      <c r="I78" s="97"/>
      <c r="J78" s="97"/>
      <c r="K78" s="97"/>
      <c r="L78" s="97"/>
      <c r="M78" s="97">
        <v>117034</v>
      </c>
      <c r="N78" s="97"/>
      <c r="O78" s="97"/>
      <c r="P78" s="158"/>
      <c r="Q78" s="97"/>
      <c r="R78" s="97"/>
      <c r="S78" s="97"/>
      <c r="T78" s="97"/>
    </row>
    <row r="79" spans="1:20">
      <c r="A79" s="122">
        <v>58</v>
      </c>
      <c r="B79" s="97" t="s">
        <v>279</v>
      </c>
      <c r="C79" s="97">
        <f>SUM(D79:T79)-N79-O79-P79</f>
        <v>103632</v>
      </c>
      <c r="D79" s="97"/>
      <c r="E79" s="97"/>
      <c r="F79" s="158"/>
      <c r="G79" s="158"/>
      <c r="H79" s="97"/>
      <c r="I79" s="97"/>
      <c r="J79" s="97"/>
      <c r="K79" s="97"/>
      <c r="L79" s="97"/>
      <c r="M79" s="97">
        <v>103632</v>
      </c>
      <c r="N79" s="97"/>
      <c r="O79" s="97"/>
      <c r="P79" s="158"/>
      <c r="Q79" s="97"/>
      <c r="R79" s="97"/>
      <c r="S79" s="97"/>
      <c r="T79" s="97"/>
    </row>
    <row r="80" spans="1:20">
      <c r="A80" s="122">
        <v>59</v>
      </c>
      <c r="B80" s="97" t="s">
        <v>280</v>
      </c>
      <c r="C80" s="97">
        <f>SUM(D80:T80)-N80-O80-P80</f>
        <v>13507</v>
      </c>
      <c r="D80" s="97"/>
      <c r="E80" s="97"/>
      <c r="F80" s="158"/>
      <c r="G80" s="158"/>
      <c r="H80" s="97"/>
      <c r="I80" s="97"/>
      <c r="J80" s="97"/>
      <c r="K80" s="97"/>
      <c r="L80" s="97"/>
      <c r="M80" s="97">
        <v>13507</v>
      </c>
      <c r="N80" s="97"/>
      <c r="O80" s="97"/>
      <c r="P80" s="158"/>
      <c r="Q80" s="97"/>
      <c r="R80" s="97"/>
      <c r="S80" s="97"/>
      <c r="T80" s="97"/>
    </row>
    <row r="81" spans="1:20">
      <c r="A81" s="122">
        <v>60</v>
      </c>
      <c r="B81" s="97" t="s">
        <v>281</v>
      </c>
      <c r="C81" s="97">
        <f>SUM(D81:T81)-N81-O81-P81</f>
        <v>512551</v>
      </c>
      <c r="D81" s="97"/>
      <c r="E81" s="97"/>
      <c r="F81" s="158"/>
      <c r="G81" s="158"/>
      <c r="H81" s="97">
        <v>512551</v>
      </c>
      <c r="I81" s="97"/>
      <c r="J81" s="97"/>
      <c r="K81" s="97"/>
      <c r="L81" s="97"/>
      <c r="M81" s="97"/>
      <c r="N81" s="97"/>
      <c r="O81" s="97"/>
      <c r="P81" s="158"/>
      <c r="Q81" s="97"/>
      <c r="R81" s="97"/>
      <c r="S81" s="97"/>
      <c r="T81" s="97"/>
    </row>
    <row r="82" spans="1:20">
      <c r="A82" s="122">
        <v>61</v>
      </c>
      <c r="B82" s="97" t="s">
        <v>282</v>
      </c>
      <c r="C82" s="97">
        <f>SUM(D82:T82)-N82-O82-P82</f>
        <v>71913</v>
      </c>
      <c r="D82" s="97"/>
      <c r="E82" s="97"/>
      <c r="F82" s="158"/>
      <c r="G82" s="158"/>
      <c r="H82" s="97"/>
      <c r="I82" s="97"/>
      <c r="J82" s="97"/>
      <c r="K82" s="97"/>
      <c r="L82" s="97"/>
      <c r="M82" s="97"/>
      <c r="N82" s="97"/>
      <c r="O82" s="97"/>
      <c r="P82" s="158"/>
      <c r="Q82" s="125"/>
      <c r="R82" s="97"/>
      <c r="S82" s="97"/>
      <c r="T82" s="97">
        <v>71913</v>
      </c>
    </row>
    <row r="83" spans="1:20" ht="15.6">
      <c r="A83" s="122"/>
      <c r="B83" s="112" t="s">
        <v>283</v>
      </c>
      <c r="C83" s="97">
        <f t="shared" ref="C83:C86" si="12">SUM(D83:T83)-N83-O83-P83</f>
        <v>52581</v>
      </c>
      <c r="D83" s="97"/>
      <c r="E83" s="97"/>
      <c r="F83" s="158"/>
      <c r="G83" s="158"/>
      <c r="H83" s="97"/>
      <c r="I83" s="97"/>
      <c r="J83" s="97"/>
      <c r="K83" s="97"/>
      <c r="L83" s="97"/>
      <c r="M83" s="97"/>
      <c r="N83" s="97"/>
      <c r="O83" s="97"/>
      <c r="P83" s="158"/>
      <c r="Q83" s="125"/>
      <c r="R83" s="97"/>
      <c r="S83" s="97"/>
      <c r="T83" s="97">
        <v>52581</v>
      </c>
    </row>
    <row r="84" spans="1:20" ht="15.6">
      <c r="A84" s="122"/>
      <c r="B84" s="112" t="s">
        <v>284</v>
      </c>
      <c r="C84" s="97">
        <f t="shared" si="12"/>
        <v>12497</v>
      </c>
      <c r="D84" s="97"/>
      <c r="E84" s="97"/>
      <c r="F84" s="158"/>
      <c r="G84" s="158"/>
      <c r="H84" s="97"/>
      <c r="I84" s="97"/>
      <c r="J84" s="97"/>
      <c r="K84" s="97"/>
      <c r="L84" s="97"/>
      <c r="M84" s="97"/>
      <c r="N84" s="97"/>
      <c r="O84" s="97"/>
      <c r="P84" s="158"/>
      <c r="Q84" s="125"/>
      <c r="R84" s="97"/>
      <c r="S84" s="97"/>
      <c r="T84" s="97">
        <v>12497</v>
      </c>
    </row>
    <row r="85" spans="1:20" ht="31.2">
      <c r="A85" s="122"/>
      <c r="B85" s="113" t="s">
        <v>285</v>
      </c>
      <c r="C85" s="97">
        <f t="shared" ref="C85" si="13">SUM(D85:T85)-N85-O85-P85</f>
        <v>3854</v>
      </c>
      <c r="D85" s="97"/>
      <c r="E85" s="97"/>
      <c r="F85" s="158"/>
      <c r="G85" s="158"/>
      <c r="H85" s="97"/>
      <c r="I85" s="97"/>
      <c r="J85" s="97"/>
      <c r="K85" s="97"/>
      <c r="L85" s="97"/>
      <c r="M85" s="97"/>
      <c r="N85" s="97"/>
      <c r="O85" s="97"/>
      <c r="P85" s="158"/>
      <c r="Q85" s="125"/>
      <c r="R85" s="97"/>
      <c r="S85" s="97"/>
      <c r="T85" s="97">
        <v>3854</v>
      </c>
    </row>
    <row r="86" spans="1:20" ht="15.6">
      <c r="A86" s="122"/>
      <c r="B86" s="113" t="s">
        <v>286</v>
      </c>
      <c r="C86" s="97">
        <f t="shared" si="12"/>
        <v>2981</v>
      </c>
      <c r="D86" s="97"/>
      <c r="E86" s="97"/>
      <c r="F86" s="158"/>
      <c r="G86" s="158"/>
      <c r="H86" s="97"/>
      <c r="I86" s="97"/>
      <c r="J86" s="97"/>
      <c r="K86" s="97"/>
      <c r="L86" s="97"/>
      <c r="M86" s="97"/>
      <c r="N86" s="97"/>
      <c r="O86" s="97"/>
      <c r="P86" s="158"/>
      <c r="Q86" s="125"/>
      <c r="R86" s="97"/>
      <c r="S86" s="97"/>
      <c r="T86" s="97">
        <v>2981</v>
      </c>
    </row>
    <row r="87" spans="1:20">
      <c r="A87" s="124"/>
      <c r="B87" s="124" t="s">
        <v>325</v>
      </c>
      <c r="C87" s="125">
        <f>SUM(C88:C96)</f>
        <v>689616</v>
      </c>
      <c r="D87" s="125">
        <f t="shared" ref="D87:T87" si="14">SUM(D88:D96)</f>
        <v>0</v>
      </c>
      <c r="E87" s="125">
        <f t="shared" si="14"/>
        <v>0</v>
      </c>
      <c r="F87" s="125">
        <f t="shared" si="14"/>
        <v>0</v>
      </c>
      <c r="G87" s="125">
        <f t="shared" si="14"/>
        <v>0</v>
      </c>
      <c r="H87" s="125">
        <f t="shared" si="14"/>
        <v>59115</v>
      </c>
      <c r="I87" s="125">
        <f t="shared" si="14"/>
        <v>688</v>
      </c>
      <c r="J87" s="125">
        <f t="shared" si="14"/>
        <v>0</v>
      </c>
      <c r="K87" s="125">
        <f t="shared" si="14"/>
        <v>0</v>
      </c>
      <c r="L87" s="125">
        <f t="shared" si="14"/>
        <v>0</v>
      </c>
      <c r="M87" s="125">
        <f t="shared" si="14"/>
        <v>205529</v>
      </c>
      <c r="N87" s="125">
        <f t="shared" si="14"/>
        <v>0</v>
      </c>
      <c r="O87" s="125">
        <f t="shared" si="14"/>
        <v>0</v>
      </c>
      <c r="P87" s="125">
        <f t="shared" si="14"/>
        <v>0</v>
      </c>
      <c r="Q87" s="125">
        <f t="shared" si="14"/>
        <v>0</v>
      </c>
      <c r="R87" s="125">
        <f t="shared" si="14"/>
        <v>369992</v>
      </c>
      <c r="S87" s="125">
        <f t="shared" si="14"/>
        <v>1711</v>
      </c>
      <c r="T87" s="125">
        <f t="shared" si="14"/>
        <v>52581</v>
      </c>
    </row>
    <row r="88" spans="1:20">
      <c r="A88" s="122">
        <v>1</v>
      </c>
      <c r="B88" s="97" t="s">
        <v>326</v>
      </c>
      <c r="C88" s="97">
        <f t="shared" ref="C88:C96" si="15">SUM(D88:T88)-N88-O88-P88</f>
        <v>528</v>
      </c>
      <c r="D88" s="97"/>
      <c r="E88" s="97"/>
      <c r="F88" s="158"/>
      <c r="G88" s="158"/>
      <c r="H88" s="97"/>
      <c r="I88" s="97">
        <v>528</v>
      </c>
      <c r="J88" s="97"/>
      <c r="K88" s="97"/>
      <c r="L88" s="97"/>
      <c r="M88" s="97"/>
      <c r="N88" s="97"/>
      <c r="O88" s="97"/>
      <c r="P88" s="158"/>
      <c r="Q88" s="97"/>
      <c r="R88" s="97"/>
      <c r="S88" s="97"/>
      <c r="T88" s="97"/>
    </row>
    <row r="89" spans="1:20">
      <c r="A89" s="122">
        <v>2</v>
      </c>
      <c r="B89" s="97" t="s">
        <v>327</v>
      </c>
      <c r="C89" s="97">
        <f t="shared" si="15"/>
        <v>160</v>
      </c>
      <c r="D89" s="97"/>
      <c r="E89" s="97"/>
      <c r="F89" s="158"/>
      <c r="G89" s="158"/>
      <c r="H89" s="97"/>
      <c r="I89" s="97">
        <v>160</v>
      </c>
      <c r="J89" s="97"/>
      <c r="K89" s="97"/>
      <c r="L89" s="97"/>
      <c r="M89" s="97"/>
      <c r="N89" s="97"/>
      <c r="O89" s="97"/>
      <c r="P89" s="158"/>
      <c r="Q89" s="125"/>
      <c r="R89" s="125"/>
      <c r="S89" s="97"/>
      <c r="T89" s="97"/>
    </row>
    <row r="90" spans="1:20">
      <c r="A90" s="122">
        <v>3</v>
      </c>
      <c r="B90" s="160" t="s">
        <v>328</v>
      </c>
      <c r="C90" s="97">
        <f t="shared" si="15"/>
        <v>429107</v>
      </c>
      <c r="D90" s="97"/>
      <c r="E90" s="97"/>
      <c r="F90" s="158"/>
      <c r="G90" s="158"/>
      <c r="H90" s="97">
        <v>59115</v>
      </c>
      <c r="I90" s="97"/>
      <c r="J90" s="97"/>
      <c r="K90" s="97"/>
      <c r="L90" s="97"/>
      <c r="M90" s="97"/>
      <c r="N90" s="97"/>
      <c r="O90" s="97"/>
      <c r="P90" s="158"/>
      <c r="Q90" s="97"/>
      <c r="R90" s="97">
        <v>369992</v>
      </c>
      <c r="S90" s="97"/>
      <c r="T90" s="97"/>
    </row>
    <row r="91" spans="1:20">
      <c r="A91" s="122">
        <v>4</v>
      </c>
      <c r="B91" s="160" t="s">
        <v>329</v>
      </c>
      <c r="C91" s="97">
        <f t="shared" si="15"/>
        <v>119099</v>
      </c>
      <c r="D91" s="128"/>
      <c r="E91" s="128"/>
      <c r="F91" s="161"/>
      <c r="G91" s="161"/>
      <c r="H91" s="128"/>
      <c r="I91" s="159"/>
      <c r="J91" s="128"/>
      <c r="K91" s="128"/>
      <c r="L91" s="128"/>
      <c r="M91" s="128">
        <v>119099</v>
      </c>
      <c r="N91" s="128"/>
      <c r="O91" s="128"/>
      <c r="P91" s="161"/>
      <c r="Q91" s="128"/>
      <c r="R91" s="128"/>
      <c r="S91" s="128"/>
      <c r="T91" s="128"/>
    </row>
    <row r="92" spans="1:20">
      <c r="A92" s="122">
        <v>5</v>
      </c>
      <c r="B92" s="160" t="s">
        <v>330</v>
      </c>
      <c r="C92" s="97">
        <f t="shared" si="15"/>
        <v>16119</v>
      </c>
      <c r="D92" s="128"/>
      <c r="E92" s="128"/>
      <c r="F92" s="161"/>
      <c r="G92" s="161"/>
      <c r="H92" s="128"/>
      <c r="I92" s="159"/>
      <c r="J92" s="128"/>
      <c r="K92" s="128"/>
      <c r="L92" s="128"/>
      <c r="M92" s="129">
        <v>16119</v>
      </c>
      <c r="N92" s="128"/>
      <c r="O92" s="128"/>
      <c r="P92" s="161"/>
      <c r="Q92" s="128"/>
      <c r="R92" s="128"/>
      <c r="S92" s="128"/>
      <c r="T92" s="128"/>
    </row>
    <row r="93" spans="1:20">
      <c r="A93" s="122">
        <v>6</v>
      </c>
      <c r="B93" s="160" t="s">
        <v>331</v>
      </c>
      <c r="C93" s="97">
        <f t="shared" si="15"/>
        <v>1711</v>
      </c>
      <c r="D93" s="159"/>
      <c r="E93" s="159"/>
      <c r="F93" s="159"/>
      <c r="G93" s="159"/>
      <c r="H93" s="159"/>
      <c r="I93" s="159"/>
      <c r="J93" s="159"/>
      <c r="K93" s="159"/>
      <c r="L93" s="159"/>
      <c r="M93" s="130"/>
      <c r="N93" s="159"/>
      <c r="O93" s="159"/>
      <c r="P93" s="159"/>
      <c r="Q93" s="159"/>
      <c r="R93" s="159"/>
      <c r="S93" s="130">
        <v>1711</v>
      </c>
      <c r="T93" s="130"/>
    </row>
    <row r="94" spans="1:20">
      <c r="A94" s="122">
        <v>7</v>
      </c>
      <c r="B94" s="160" t="s">
        <v>332</v>
      </c>
      <c r="C94" s="97">
        <f t="shared" si="15"/>
        <v>1410</v>
      </c>
      <c r="D94" s="159"/>
      <c r="E94" s="159"/>
      <c r="F94" s="159"/>
      <c r="G94" s="159"/>
      <c r="H94" s="159"/>
      <c r="I94" s="159"/>
      <c r="J94" s="159"/>
      <c r="K94" s="159"/>
      <c r="L94" s="159"/>
      <c r="M94" s="130">
        <v>1410</v>
      </c>
      <c r="N94" s="159"/>
      <c r="O94" s="159"/>
      <c r="P94" s="159"/>
      <c r="Q94" s="159"/>
      <c r="R94" s="159"/>
      <c r="S94" s="159"/>
      <c r="T94" s="130"/>
    </row>
    <row r="95" spans="1:20">
      <c r="A95" s="122">
        <v>8</v>
      </c>
      <c r="B95" s="160" t="s">
        <v>333</v>
      </c>
      <c r="C95" s="97">
        <f t="shared" si="15"/>
        <v>68901</v>
      </c>
      <c r="D95" s="159"/>
      <c r="E95" s="159"/>
      <c r="F95" s="159"/>
      <c r="G95" s="159"/>
      <c r="H95" s="159"/>
      <c r="I95" s="159"/>
      <c r="J95" s="159"/>
      <c r="K95" s="159"/>
      <c r="L95" s="159"/>
      <c r="M95" s="130">
        <v>68901</v>
      </c>
      <c r="N95" s="159"/>
      <c r="O95" s="159"/>
      <c r="P95" s="159"/>
      <c r="Q95" s="159"/>
      <c r="R95" s="159"/>
      <c r="S95" s="159"/>
      <c r="T95" s="130"/>
    </row>
    <row r="96" spans="1:20" ht="15.6">
      <c r="A96" s="131">
        <v>9</v>
      </c>
      <c r="B96" s="162" t="s">
        <v>334</v>
      </c>
      <c r="C96" s="132">
        <f t="shared" si="15"/>
        <v>52581</v>
      </c>
      <c r="D96" s="163"/>
      <c r="E96" s="163"/>
      <c r="F96" s="163"/>
      <c r="G96" s="163"/>
      <c r="H96" s="163"/>
      <c r="I96" s="163"/>
      <c r="J96" s="163"/>
      <c r="K96" s="163"/>
      <c r="L96" s="163"/>
      <c r="M96" s="163"/>
      <c r="N96" s="163"/>
      <c r="O96" s="163"/>
      <c r="P96" s="163"/>
      <c r="Q96" s="163"/>
      <c r="R96" s="163"/>
      <c r="S96" s="163"/>
      <c r="T96" s="133">
        <v>52581</v>
      </c>
    </row>
    <row r="97" spans="1:19" s="134" customFormat="1" ht="34.799999999999997" customHeight="1">
      <c r="A97" s="121"/>
      <c r="B97" s="195" t="s">
        <v>98</v>
      </c>
      <c r="C97" s="195"/>
      <c r="D97" s="195"/>
      <c r="E97" s="195"/>
      <c r="F97" s="195"/>
      <c r="G97" s="195"/>
      <c r="H97" s="195"/>
      <c r="I97" s="195"/>
      <c r="J97" s="195"/>
      <c r="K97" s="195"/>
      <c r="L97" s="195"/>
      <c r="M97" s="195"/>
      <c r="N97" s="195"/>
      <c r="O97" s="195"/>
      <c r="P97" s="195"/>
      <c r="Q97" s="195"/>
      <c r="R97" s="195"/>
      <c r="S97" s="195"/>
    </row>
  </sheetData>
  <mergeCells count="26">
    <mergeCell ref="A1:T1"/>
    <mergeCell ref="A2:T2"/>
    <mergeCell ref="A3:T3"/>
    <mergeCell ref="R7:T7"/>
    <mergeCell ref="A8:A10"/>
    <mergeCell ref="B8:B10"/>
    <mergeCell ref="C8:C10"/>
    <mergeCell ref="D8:D10"/>
    <mergeCell ref="E8:E10"/>
    <mergeCell ref="F8:F10"/>
    <mergeCell ref="T8:T10"/>
    <mergeCell ref="N9:N10"/>
    <mergeCell ref="O9:O10"/>
    <mergeCell ref="P9:P10"/>
    <mergeCell ref="G8:G10"/>
    <mergeCell ref="H8:H10"/>
    <mergeCell ref="I8:I10"/>
    <mergeCell ref="J8:J10"/>
    <mergeCell ref="K8:K10"/>
    <mergeCell ref="L8:L10"/>
    <mergeCell ref="B97:S97"/>
    <mergeCell ref="M8:M10"/>
    <mergeCell ref="N8:P8"/>
    <mergeCell ref="Q8:Q10"/>
    <mergeCell ref="R8:R10"/>
    <mergeCell ref="S8:S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M66"/>
  <sheetViews>
    <sheetView zoomScale="60" zoomScaleNormal="60" workbookViewId="0">
      <pane xSplit="2" ySplit="9" topLeftCell="C46" activePane="bottomRight" state="frozen"/>
      <selection activeCell="E9" sqref="E9"/>
      <selection pane="topRight" activeCell="E9" sqref="E9"/>
      <selection pane="bottomLeft" activeCell="E9" sqref="E9"/>
      <selection pane="bottomRight" activeCell="H8" sqref="H8"/>
    </sheetView>
  </sheetViews>
  <sheetFormatPr defaultColWidth="9.21875" defaultRowHeight="13.8"/>
  <cols>
    <col min="1" max="1" width="5.5546875" style="213" bestFit="1" customWidth="1"/>
    <col min="2" max="2" width="26.77734375" style="213" customWidth="1"/>
    <col min="3" max="4" width="17.5546875" style="213" customWidth="1"/>
    <col min="5" max="5" width="14.77734375" style="213" customWidth="1"/>
    <col min="6" max="6" width="13.44140625" style="213" customWidth="1"/>
    <col min="7" max="7" width="16.21875" style="213" customWidth="1"/>
    <col min="8" max="8" width="14.77734375" style="213" customWidth="1"/>
    <col min="9" max="9" width="17.77734375" style="213" customWidth="1"/>
    <col min="10" max="10" width="18.21875" style="213" customWidth="1"/>
    <col min="11" max="11" width="0" style="213" hidden="1" customWidth="1"/>
    <col min="12" max="12" width="10.5546875" style="213" bestFit="1" customWidth="1"/>
    <col min="13" max="16384" width="9.21875" style="213"/>
  </cols>
  <sheetData>
    <row r="1" spans="1:13" ht="15.75" customHeight="1">
      <c r="A1" s="173" t="s">
        <v>123</v>
      </c>
      <c r="B1" s="173"/>
      <c r="C1" s="173"/>
      <c r="D1" s="173"/>
      <c r="E1" s="173"/>
      <c r="F1" s="173"/>
      <c r="G1" s="173"/>
      <c r="H1" s="173"/>
      <c r="I1" s="173"/>
      <c r="J1" s="173"/>
    </row>
    <row r="2" spans="1:13" ht="46.5" customHeight="1">
      <c r="A2" s="167" t="s">
        <v>338</v>
      </c>
      <c r="B2" s="167"/>
      <c r="C2" s="167"/>
      <c r="D2" s="167"/>
      <c r="E2" s="167"/>
      <c r="F2" s="167"/>
      <c r="G2" s="167"/>
      <c r="H2" s="167"/>
      <c r="I2" s="167"/>
      <c r="J2" s="167"/>
    </row>
    <row r="3" spans="1:13" ht="25.5" customHeight="1">
      <c r="A3" s="168" t="s">
        <v>177</v>
      </c>
      <c r="B3" s="168"/>
      <c r="C3" s="168"/>
      <c r="D3" s="168"/>
      <c r="E3" s="168"/>
      <c r="F3" s="168"/>
      <c r="G3" s="168"/>
      <c r="H3" s="168"/>
      <c r="I3" s="168"/>
      <c r="J3" s="168"/>
    </row>
    <row r="4" spans="1:13" ht="22.5" customHeight="1">
      <c r="E4" s="214"/>
      <c r="J4" s="35" t="s">
        <v>5</v>
      </c>
    </row>
    <row r="5" spans="1:13" ht="23.25" customHeight="1">
      <c r="A5" s="175" t="s">
        <v>0</v>
      </c>
      <c r="B5" s="175" t="s">
        <v>16</v>
      </c>
      <c r="C5" s="175" t="s">
        <v>43</v>
      </c>
      <c r="D5" s="175" t="s">
        <v>28</v>
      </c>
      <c r="E5" s="175" t="s">
        <v>62</v>
      </c>
      <c r="F5" s="175"/>
      <c r="G5" s="175"/>
      <c r="H5" s="175" t="s">
        <v>101</v>
      </c>
      <c r="I5" s="175" t="s">
        <v>63</v>
      </c>
      <c r="J5" s="175" t="s">
        <v>91</v>
      </c>
    </row>
    <row r="6" spans="1:13" ht="23.25" customHeight="1">
      <c r="A6" s="175"/>
      <c r="B6" s="175"/>
      <c r="C6" s="175"/>
      <c r="D6" s="175"/>
      <c r="E6" s="175" t="s">
        <v>29</v>
      </c>
      <c r="F6" s="175" t="s">
        <v>64</v>
      </c>
      <c r="G6" s="175"/>
      <c r="H6" s="175"/>
      <c r="I6" s="175"/>
      <c r="J6" s="175"/>
    </row>
    <row r="7" spans="1:13" ht="52.5" customHeight="1">
      <c r="A7" s="175"/>
      <c r="B7" s="175"/>
      <c r="C7" s="175"/>
      <c r="D7" s="175"/>
      <c r="E7" s="175"/>
      <c r="F7" s="75" t="s">
        <v>13</v>
      </c>
      <c r="G7" s="56" t="s">
        <v>65</v>
      </c>
      <c r="H7" s="175"/>
      <c r="I7" s="175"/>
      <c r="J7" s="175"/>
    </row>
    <row r="8" spans="1:13" ht="15.6">
      <c r="A8" s="75" t="s">
        <v>2</v>
      </c>
      <c r="B8" s="75" t="s">
        <v>3</v>
      </c>
      <c r="C8" s="75">
        <v>1</v>
      </c>
      <c r="D8" s="75" t="s">
        <v>82</v>
      </c>
      <c r="E8" s="75">
        <v>3</v>
      </c>
      <c r="F8" s="75">
        <v>4</v>
      </c>
      <c r="G8" s="75">
        <v>5</v>
      </c>
      <c r="H8" s="75">
        <v>6</v>
      </c>
      <c r="I8" s="75">
        <v>7</v>
      </c>
      <c r="J8" s="75" t="s">
        <v>106</v>
      </c>
      <c r="L8" s="215"/>
    </row>
    <row r="9" spans="1:13" s="218" customFormat="1" ht="25.05" customHeight="1">
      <c r="A9" s="75"/>
      <c r="B9" s="216" t="s">
        <v>14</v>
      </c>
      <c r="C9" s="217">
        <f>SUM(C10:C63)</f>
        <v>212892.921</v>
      </c>
      <c r="D9" s="217">
        <f>SUM(D10:D63)</f>
        <v>212892.921</v>
      </c>
      <c r="E9" s="217">
        <f>SUM(E10:E63)</f>
        <v>212892.921</v>
      </c>
      <c r="F9" s="217">
        <f>SUM(F10:F63)</f>
        <v>0</v>
      </c>
      <c r="G9" s="217">
        <f>SUM(G10:G63)</f>
        <v>0</v>
      </c>
      <c r="H9" s="217">
        <f t="shared" ref="H9:J9" si="0">SUM(H10:H63)</f>
        <v>1607919.98</v>
      </c>
      <c r="I9" s="217">
        <f>SUM(I10:I63)</f>
        <v>5749275.4442000017</v>
      </c>
      <c r="J9" s="217">
        <f t="shared" si="0"/>
        <v>7570088.3452000003</v>
      </c>
      <c r="K9" s="218" t="s">
        <v>114</v>
      </c>
      <c r="L9" s="219"/>
    </row>
    <row r="10" spans="1:13" ht="25.05" customHeight="1">
      <c r="A10" s="56">
        <v>1</v>
      </c>
      <c r="B10" s="57" t="s">
        <v>127</v>
      </c>
      <c r="C10" s="220">
        <f>+'Bieu 6'!C8</f>
        <v>36690</v>
      </c>
      <c r="D10" s="220">
        <f>E10+G10</f>
        <v>36690</v>
      </c>
      <c r="E10" s="220">
        <v>36690</v>
      </c>
      <c r="F10" s="220"/>
      <c r="G10" s="220">
        <f>F10</f>
        <v>0</v>
      </c>
      <c r="H10" s="220">
        <v>85770</v>
      </c>
      <c r="I10" s="220">
        <v>322585</v>
      </c>
      <c r="J10" s="220">
        <f>+D10+H10+I10</f>
        <v>445045</v>
      </c>
      <c r="M10" s="214"/>
    </row>
    <row r="11" spans="1:13" ht="25.05" customHeight="1">
      <c r="A11" s="56">
        <v>2</v>
      </c>
      <c r="B11" s="57" t="s">
        <v>128</v>
      </c>
      <c r="C11" s="220">
        <f>+'Bieu 6'!C9</f>
        <v>7910</v>
      </c>
      <c r="D11" s="220">
        <f t="shared" ref="D11:D20" si="1">E11+G11</f>
        <v>7910</v>
      </c>
      <c r="E11" s="220">
        <v>7910</v>
      </c>
      <c r="F11" s="220"/>
      <c r="G11" s="220">
        <f t="shared" ref="G11:G20" si="2">F11</f>
        <v>0</v>
      </c>
      <c r="H11" s="220">
        <v>33235</v>
      </c>
      <c r="I11" s="220">
        <v>140161</v>
      </c>
      <c r="J11" s="220">
        <f t="shared" ref="J11:J20" si="3">+D11+H11+I11</f>
        <v>181306</v>
      </c>
      <c r="L11" s="214"/>
    </row>
    <row r="12" spans="1:13" ht="25.05" customHeight="1">
      <c r="A12" s="56">
        <v>3</v>
      </c>
      <c r="B12" s="57" t="s">
        <v>129</v>
      </c>
      <c r="C12" s="220">
        <f>+'Bieu 6'!C10</f>
        <v>4530</v>
      </c>
      <c r="D12" s="220">
        <f t="shared" si="1"/>
        <v>4530</v>
      </c>
      <c r="E12" s="220">
        <v>4530</v>
      </c>
      <c r="F12" s="220"/>
      <c r="G12" s="220">
        <f t="shared" si="2"/>
        <v>0</v>
      </c>
      <c r="H12" s="220">
        <v>32059</v>
      </c>
      <c r="I12" s="220">
        <v>114486</v>
      </c>
      <c r="J12" s="220">
        <f t="shared" si="3"/>
        <v>151075</v>
      </c>
    </row>
    <row r="13" spans="1:13" ht="25.05" customHeight="1">
      <c r="A13" s="56">
        <v>4</v>
      </c>
      <c r="B13" s="57" t="s">
        <v>130</v>
      </c>
      <c r="C13" s="220">
        <f>+'Bieu 6'!C11</f>
        <v>1570</v>
      </c>
      <c r="D13" s="220">
        <f t="shared" ref="D13" si="4">E13+G13</f>
        <v>1570</v>
      </c>
      <c r="E13" s="220">
        <v>1570</v>
      </c>
      <c r="F13" s="220"/>
      <c r="G13" s="220">
        <f t="shared" ref="G13" si="5">F13</f>
        <v>0</v>
      </c>
      <c r="H13" s="220">
        <v>13691</v>
      </c>
      <c r="I13" s="220">
        <v>49005</v>
      </c>
      <c r="J13" s="220">
        <f>+D13+H13+I13</f>
        <v>64266</v>
      </c>
    </row>
    <row r="14" spans="1:13" ht="25.05" customHeight="1">
      <c r="A14" s="56">
        <v>5</v>
      </c>
      <c r="B14" s="57" t="s">
        <v>131</v>
      </c>
      <c r="C14" s="220">
        <f>+'Bieu 6'!C12</f>
        <v>7564</v>
      </c>
      <c r="D14" s="220">
        <f t="shared" si="1"/>
        <v>7564</v>
      </c>
      <c r="E14" s="220">
        <v>7564</v>
      </c>
      <c r="F14" s="220"/>
      <c r="G14" s="220">
        <f t="shared" si="2"/>
        <v>0</v>
      </c>
      <c r="H14" s="220">
        <v>62597.481854999998</v>
      </c>
      <c r="I14" s="220">
        <v>213177.12193985711</v>
      </c>
      <c r="J14" s="220">
        <f t="shared" si="3"/>
        <v>283338.6037948571</v>
      </c>
    </row>
    <row r="15" spans="1:13" ht="25.05" customHeight="1">
      <c r="A15" s="56">
        <v>6</v>
      </c>
      <c r="B15" s="57" t="s">
        <v>132</v>
      </c>
      <c r="C15" s="220">
        <f>+'Bieu 6'!C13</f>
        <v>2536</v>
      </c>
      <c r="D15" s="220">
        <f t="shared" si="1"/>
        <v>2536</v>
      </c>
      <c r="E15" s="220">
        <v>2536</v>
      </c>
      <c r="F15" s="220"/>
      <c r="G15" s="220">
        <f t="shared" si="2"/>
        <v>0</v>
      </c>
      <c r="H15" s="220">
        <v>19512.518144999998</v>
      </c>
      <c r="I15" s="220">
        <v>98542.978060142865</v>
      </c>
      <c r="J15" s="220">
        <f t="shared" si="3"/>
        <v>120591.49620514286</v>
      </c>
    </row>
    <row r="16" spans="1:13" ht="25.05" customHeight="1">
      <c r="A16" s="56">
        <v>7</v>
      </c>
      <c r="B16" s="57" t="s">
        <v>172</v>
      </c>
      <c r="C16" s="220">
        <f>+'Bieu 6'!C14</f>
        <v>5027</v>
      </c>
      <c r="D16" s="220">
        <f t="shared" si="1"/>
        <v>5027</v>
      </c>
      <c r="E16" s="220">
        <v>5027</v>
      </c>
      <c r="F16" s="220"/>
      <c r="G16" s="220">
        <f t="shared" si="2"/>
        <v>0</v>
      </c>
      <c r="H16" s="220">
        <v>24208</v>
      </c>
      <c r="I16" s="220">
        <v>80047</v>
      </c>
      <c r="J16" s="220">
        <f t="shared" si="3"/>
        <v>109282</v>
      </c>
      <c r="M16" s="214"/>
    </row>
    <row r="17" spans="1:13" ht="25.05" customHeight="1">
      <c r="A17" s="56">
        <v>8</v>
      </c>
      <c r="B17" s="57" t="s">
        <v>173</v>
      </c>
      <c r="C17" s="220">
        <f>+'Bieu 6'!C15</f>
        <v>7449</v>
      </c>
      <c r="D17" s="220">
        <f t="shared" si="1"/>
        <v>7449</v>
      </c>
      <c r="E17" s="220">
        <v>7449</v>
      </c>
      <c r="F17" s="220"/>
      <c r="G17" s="220">
        <f t="shared" si="2"/>
        <v>0</v>
      </c>
      <c r="H17" s="220">
        <v>19800</v>
      </c>
      <c r="I17" s="220">
        <v>74539</v>
      </c>
      <c r="J17" s="220">
        <f t="shared" si="3"/>
        <v>101788</v>
      </c>
      <c r="M17" s="214"/>
    </row>
    <row r="18" spans="1:13" ht="25.05" customHeight="1">
      <c r="A18" s="56">
        <v>9</v>
      </c>
      <c r="B18" s="57" t="s">
        <v>174</v>
      </c>
      <c r="C18" s="220">
        <f>+'Bieu 6'!C16</f>
        <v>2574</v>
      </c>
      <c r="D18" s="220">
        <f t="shared" si="1"/>
        <v>2574</v>
      </c>
      <c r="E18" s="220">
        <v>2574</v>
      </c>
      <c r="F18" s="220"/>
      <c r="G18" s="220">
        <f t="shared" si="2"/>
        <v>0</v>
      </c>
      <c r="H18" s="220">
        <v>30900</v>
      </c>
      <c r="I18" s="220">
        <v>104636</v>
      </c>
      <c r="J18" s="220">
        <f t="shared" si="3"/>
        <v>138110</v>
      </c>
      <c r="M18" s="214"/>
    </row>
    <row r="19" spans="1:13" ht="25.05" customHeight="1">
      <c r="A19" s="56">
        <v>10</v>
      </c>
      <c r="B19" s="57" t="s">
        <v>133</v>
      </c>
      <c r="C19" s="220">
        <f>+'Bieu 6'!C17</f>
        <v>1148</v>
      </c>
      <c r="D19" s="220">
        <f t="shared" si="1"/>
        <v>1148</v>
      </c>
      <c r="E19" s="220">
        <v>1148</v>
      </c>
      <c r="F19" s="220"/>
      <c r="G19" s="220">
        <f t="shared" si="2"/>
        <v>0</v>
      </c>
      <c r="H19" s="220">
        <v>25700</v>
      </c>
      <c r="I19" s="220">
        <v>91308</v>
      </c>
      <c r="J19" s="220">
        <f t="shared" si="3"/>
        <v>118156</v>
      </c>
      <c r="M19" s="214"/>
    </row>
    <row r="20" spans="1:13" ht="25.05" customHeight="1">
      <c r="A20" s="56">
        <v>11</v>
      </c>
      <c r="B20" s="57" t="s">
        <v>175</v>
      </c>
      <c r="C20" s="220">
        <f>+'Bieu 6'!C18</f>
        <v>2222</v>
      </c>
      <c r="D20" s="220">
        <f t="shared" si="1"/>
        <v>2222</v>
      </c>
      <c r="E20" s="220">
        <v>2222</v>
      </c>
      <c r="F20" s="220"/>
      <c r="G20" s="220">
        <f t="shared" si="2"/>
        <v>0</v>
      </c>
      <c r="H20" s="220">
        <v>25500</v>
      </c>
      <c r="I20" s="220">
        <v>90479</v>
      </c>
      <c r="J20" s="220">
        <f t="shared" si="3"/>
        <v>118201</v>
      </c>
      <c r="M20" s="214"/>
    </row>
    <row r="21" spans="1:13" ht="25.05" customHeight="1">
      <c r="A21" s="56">
        <v>12</v>
      </c>
      <c r="B21" s="60" t="s">
        <v>181</v>
      </c>
      <c r="C21" s="220">
        <f>+'Bieu 6'!C19</f>
        <v>4306</v>
      </c>
      <c r="D21" s="220">
        <f t="shared" ref="D21:D63" si="6">E21+G21</f>
        <v>4306</v>
      </c>
      <c r="E21" s="220">
        <v>4306</v>
      </c>
      <c r="F21" s="220"/>
      <c r="G21" s="220">
        <f t="shared" ref="G21:G63" si="7">F21</f>
        <v>0</v>
      </c>
      <c r="H21" s="220">
        <v>43433.080999999998</v>
      </c>
      <c r="I21" s="220">
        <v>137882.55900000001</v>
      </c>
      <c r="J21" s="220">
        <f t="shared" ref="J21:J63" si="8">+D21+H21+I21</f>
        <v>185621.64</v>
      </c>
      <c r="M21" s="214"/>
    </row>
    <row r="22" spans="1:13" ht="25.05" customHeight="1">
      <c r="A22" s="56">
        <v>13</v>
      </c>
      <c r="B22" s="60" t="s">
        <v>182</v>
      </c>
      <c r="C22" s="220">
        <f>+'Bieu 6'!C20</f>
        <v>11794</v>
      </c>
      <c r="D22" s="220">
        <f t="shared" si="6"/>
        <v>11794</v>
      </c>
      <c r="E22" s="220">
        <v>11794</v>
      </c>
      <c r="F22" s="220"/>
      <c r="G22" s="220">
        <f t="shared" si="7"/>
        <v>0</v>
      </c>
      <c r="H22" s="220">
        <v>33288.455999999998</v>
      </c>
      <c r="I22" s="220">
        <v>103532.56399999998</v>
      </c>
      <c r="J22" s="220">
        <f t="shared" si="8"/>
        <v>148615.01999999999</v>
      </c>
      <c r="M22" s="214"/>
    </row>
    <row r="23" spans="1:13" ht="25.05" customHeight="1">
      <c r="A23" s="56">
        <v>14</v>
      </c>
      <c r="B23" s="60" t="s">
        <v>183</v>
      </c>
      <c r="C23" s="220">
        <f>+'Bieu 6'!C21</f>
        <v>7670</v>
      </c>
      <c r="D23" s="220">
        <f t="shared" si="6"/>
        <v>7670</v>
      </c>
      <c r="E23" s="220">
        <v>7670</v>
      </c>
      <c r="F23" s="220"/>
      <c r="G23" s="220">
        <f t="shared" si="7"/>
        <v>0</v>
      </c>
      <c r="H23" s="220">
        <v>32892.423999999999</v>
      </c>
      <c r="I23" s="220">
        <v>147039.03599999999</v>
      </c>
      <c r="J23" s="220">
        <f t="shared" si="8"/>
        <v>187601.46</v>
      </c>
      <c r="M23" s="214"/>
    </row>
    <row r="24" spans="1:13" ht="25.05" customHeight="1">
      <c r="A24" s="56">
        <v>15</v>
      </c>
      <c r="B24" s="60" t="s">
        <v>184</v>
      </c>
      <c r="C24" s="220">
        <f>+'Bieu 6'!C22</f>
        <v>5501</v>
      </c>
      <c r="D24" s="220">
        <f t="shared" si="6"/>
        <v>5501</v>
      </c>
      <c r="E24" s="220">
        <v>5501</v>
      </c>
      <c r="F24" s="220"/>
      <c r="G24" s="220">
        <f t="shared" si="7"/>
        <v>0</v>
      </c>
      <c r="H24" s="220">
        <v>43929.224999999999</v>
      </c>
      <c r="I24" s="220">
        <v>102586.495</v>
      </c>
      <c r="J24" s="220">
        <f t="shared" si="8"/>
        <v>152016.72</v>
      </c>
      <c r="M24" s="214"/>
    </row>
    <row r="25" spans="1:13" ht="25.05" customHeight="1">
      <c r="A25" s="56">
        <v>16</v>
      </c>
      <c r="B25" s="60" t="s">
        <v>185</v>
      </c>
      <c r="C25" s="220">
        <f>+'Bieu 6'!C23</f>
        <v>2228</v>
      </c>
      <c r="D25" s="220">
        <f t="shared" si="6"/>
        <v>2228</v>
      </c>
      <c r="E25" s="220">
        <v>2228</v>
      </c>
      <c r="F25" s="220"/>
      <c r="G25" s="220">
        <f t="shared" si="7"/>
        <v>0</v>
      </c>
      <c r="H25" s="220">
        <v>47543.491000000002</v>
      </c>
      <c r="I25" s="220">
        <v>144066.24899999998</v>
      </c>
      <c r="J25" s="220">
        <f t="shared" si="8"/>
        <v>193837.74</v>
      </c>
      <c r="M25" s="214"/>
    </row>
    <row r="26" spans="1:13" ht="25.05" customHeight="1">
      <c r="A26" s="56">
        <v>17</v>
      </c>
      <c r="B26" s="60" t="s">
        <v>186</v>
      </c>
      <c r="C26" s="220">
        <f>+'Bieu 6'!C24</f>
        <v>5735</v>
      </c>
      <c r="D26" s="220">
        <f t="shared" si="6"/>
        <v>5735</v>
      </c>
      <c r="E26" s="220">
        <v>5735</v>
      </c>
      <c r="F26" s="220"/>
      <c r="G26" s="220">
        <f t="shared" si="7"/>
        <v>0</v>
      </c>
      <c r="H26" s="220">
        <v>36830.322999999997</v>
      </c>
      <c r="I26" s="220">
        <v>105066.41699999997</v>
      </c>
      <c r="J26" s="220">
        <f t="shared" si="8"/>
        <v>147631.73999999996</v>
      </c>
      <c r="M26" s="214"/>
    </row>
    <row r="27" spans="1:13" ht="25.05" customHeight="1">
      <c r="A27" s="56">
        <v>18</v>
      </c>
      <c r="B27" s="60" t="s">
        <v>134</v>
      </c>
      <c r="C27" s="220">
        <f>+'Bieu 6'!C25</f>
        <v>5177</v>
      </c>
      <c r="D27" s="220">
        <f t="shared" si="6"/>
        <v>5177</v>
      </c>
      <c r="E27" s="220">
        <v>5177</v>
      </c>
      <c r="F27" s="220"/>
      <c r="G27" s="220">
        <f t="shared" si="7"/>
        <v>0</v>
      </c>
      <c r="H27" s="220">
        <v>33770.44</v>
      </c>
      <c r="I27" s="220">
        <v>153271.56</v>
      </c>
      <c r="J27" s="220">
        <f t="shared" si="8"/>
        <v>192219</v>
      </c>
      <c r="M27" s="214"/>
    </row>
    <row r="28" spans="1:13" ht="25.05" customHeight="1">
      <c r="A28" s="56">
        <v>19</v>
      </c>
      <c r="B28" s="60" t="s">
        <v>135</v>
      </c>
      <c r="C28" s="220">
        <f>+'Bieu 6'!C26</f>
        <v>2010.521</v>
      </c>
      <c r="D28" s="220">
        <f t="shared" si="6"/>
        <v>2010.521</v>
      </c>
      <c r="E28" s="220">
        <v>2010.521</v>
      </c>
      <c r="F28" s="220"/>
      <c r="G28" s="220">
        <f t="shared" si="7"/>
        <v>0</v>
      </c>
      <c r="H28" s="220">
        <v>25327.83</v>
      </c>
      <c r="I28" s="220">
        <v>75941.148199999996</v>
      </c>
      <c r="J28" s="220">
        <f t="shared" si="8"/>
        <v>103279.49919999999</v>
      </c>
      <c r="M28" s="214"/>
    </row>
    <row r="29" spans="1:13" ht="25.05" customHeight="1">
      <c r="A29" s="56">
        <v>20</v>
      </c>
      <c r="B29" s="60" t="s">
        <v>136</v>
      </c>
      <c r="C29" s="220">
        <f>+'Bieu 6'!C27</f>
        <v>8558.4</v>
      </c>
      <c r="D29" s="220">
        <f t="shared" si="6"/>
        <v>8558.4</v>
      </c>
      <c r="E29" s="220">
        <v>8558.4</v>
      </c>
      <c r="F29" s="220"/>
      <c r="G29" s="220">
        <f t="shared" si="7"/>
        <v>0</v>
      </c>
      <c r="H29" s="220">
        <v>25327.83</v>
      </c>
      <c r="I29" s="220">
        <v>89625.77</v>
      </c>
      <c r="J29" s="220">
        <f t="shared" si="8"/>
        <v>123512</v>
      </c>
      <c r="M29" s="214"/>
    </row>
    <row r="30" spans="1:13" ht="25.05" customHeight="1">
      <c r="A30" s="56">
        <v>21</v>
      </c>
      <c r="B30" s="60" t="s">
        <v>137</v>
      </c>
      <c r="C30" s="220">
        <f>+'Bieu 6'!C28</f>
        <v>6844</v>
      </c>
      <c r="D30" s="220">
        <f t="shared" si="6"/>
        <v>6844</v>
      </c>
      <c r="E30" s="220">
        <v>6844</v>
      </c>
      <c r="F30" s="220"/>
      <c r="G30" s="220">
        <f t="shared" si="7"/>
        <v>0</v>
      </c>
      <c r="H30" s="220">
        <v>25327.83</v>
      </c>
      <c r="I30" s="220">
        <v>98741.138600000006</v>
      </c>
      <c r="J30" s="220">
        <f t="shared" si="8"/>
        <v>130912.96860000001</v>
      </c>
      <c r="M30" s="214"/>
    </row>
    <row r="31" spans="1:13" ht="25.05" customHeight="1">
      <c r="A31" s="56">
        <v>22</v>
      </c>
      <c r="B31" s="60" t="s">
        <v>138</v>
      </c>
      <c r="C31" s="220">
        <f>+'Bieu 6'!C29</f>
        <v>2668</v>
      </c>
      <c r="D31" s="220">
        <f t="shared" si="6"/>
        <v>2668</v>
      </c>
      <c r="E31" s="220">
        <v>2668</v>
      </c>
      <c r="F31" s="220"/>
      <c r="G31" s="220">
        <f t="shared" si="7"/>
        <v>0</v>
      </c>
      <c r="H31" s="220">
        <v>16885.22</v>
      </c>
      <c r="I31" s="220">
        <v>64679.590600000003</v>
      </c>
      <c r="J31" s="220">
        <f t="shared" si="8"/>
        <v>84232.810599999997</v>
      </c>
      <c r="M31" s="214"/>
    </row>
    <row r="32" spans="1:13" ht="25.05" customHeight="1">
      <c r="A32" s="56">
        <v>23</v>
      </c>
      <c r="B32" s="60" t="s">
        <v>139</v>
      </c>
      <c r="C32" s="220">
        <f>+'Bieu 6'!C30</f>
        <v>1033</v>
      </c>
      <c r="D32" s="220">
        <f t="shared" si="6"/>
        <v>1033</v>
      </c>
      <c r="E32" s="220">
        <v>1033</v>
      </c>
      <c r="F32" s="220"/>
      <c r="G32" s="220">
        <f t="shared" si="7"/>
        <v>0</v>
      </c>
      <c r="H32" s="220">
        <v>25327.83</v>
      </c>
      <c r="I32" s="220">
        <v>67359.238799999992</v>
      </c>
      <c r="J32" s="220">
        <f t="shared" si="8"/>
        <v>93720.068799999994</v>
      </c>
      <c r="M32" s="214"/>
    </row>
    <row r="33" spans="1:13" ht="25.05" customHeight="1">
      <c r="A33" s="56">
        <v>24</v>
      </c>
      <c r="B33" s="60" t="s">
        <v>141</v>
      </c>
      <c r="C33" s="220">
        <f>+'Bieu 6'!C31</f>
        <v>2034</v>
      </c>
      <c r="D33" s="220">
        <f t="shared" si="6"/>
        <v>2034</v>
      </c>
      <c r="E33" s="220">
        <v>2034</v>
      </c>
      <c r="F33" s="220"/>
      <c r="G33" s="220">
        <f t="shared" si="7"/>
        <v>0</v>
      </c>
      <c r="H33" s="220">
        <v>31533.493599879752</v>
      </c>
      <c r="I33" s="220">
        <v>97342.479400120239</v>
      </c>
      <c r="J33" s="220">
        <f t="shared" si="8"/>
        <v>130909.973</v>
      </c>
      <c r="M33" s="214"/>
    </row>
    <row r="34" spans="1:13" ht="25.05" customHeight="1">
      <c r="A34" s="56">
        <v>25</v>
      </c>
      <c r="B34" s="60" t="s">
        <v>142</v>
      </c>
      <c r="C34" s="220">
        <f>+'Bieu 6'!C32</f>
        <v>5700</v>
      </c>
      <c r="D34" s="220">
        <f t="shared" si="6"/>
        <v>5700</v>
      </c>
      <c r="E34" s="220">
        <v>5700</v>
      </c>
      <c r="F34" s="220"/>
      <c r="G34" s="220">
        <f t="shared" si="7"/>
        <v>0</v>
      </c>
      <c r="H34" s="220">
        <v>31680.591955508793</v>
      </c>
      <c r="I34" s="220">
        <v>101904.22704449123</v>
      </c>
      <c r="J34" s="220">
        <f t="shared" si="8"/>
        <v>139284.81900000002</v>
      </c>
      <c r="M34" s="214"/>
    </row>
    <row r="35" spans="1:13" ht="25.05" customHeight="1">
      <c r="A35" s="56">
        <v>26</v>
      </c>
      <c r="B35" s="60" t="s">
        <v>140</v>
      </c>
      <c r="C35" s="220">
        <f>+'Bieu 6'!C33</f>
        <v>3643</v>
      </c>
      <c r="D35" s="220">
        <f t="shared" si="6"/>
        <v>3643</v>
      </c>
      <c r="E35" s="220">
        <v>3643</v>
      </c>
      <c r="F35" s="220"/>
      <c r="G35" s="220">
        <f t="shared" si="7"/>
        <v>0</v>
      </c>
      <c r="H35" s="220">
        <v>34092.431877348565</v>
      </c>
      <c r="I35" s="220">
        <v>118690.62812265143</v>
      </c>
      <c r="J35" s="220">
        <f t="shared" si="8"/>
        <v>156426.06</v>
      </c>
      <c r="M35" s="214"/>
    </row>
    <row r="36" spans="1:13" ht="25.05" customHeight="1">
      <c r="A36" s="56">
        <v>27</v>
      </c>
      <c r="B36" s="60" t="s">
        <v>143</v>
      </c>
      <c r="C36" s="220">
        <f>+'Bieu 6'!C34</f>
        <v>8226</v>
      </c>
      <c r="D36" s="220">
        <f t="shared" si="6"/>
        <v>8226</v>
      </c>
      <c r="E36" s="220">
        <v>8226</v>
      </c>
      <c r="F36" s="220"/>
      <c r="G36" s="220">
        <f t="shared" si="7"/>
        <v>0</v>
      </c>
      <c r="H36" s="220">
        <v>32918.192189989481</v>
      </c>
      <c r="I36" s="220">
        <v>107803.2498100105</v>
      </c>
      <c r="J36" s="220">
        <f t="shared" si="8"/>
        <v>148947.44199999998</v>
      </c>
      <c r="M36" s="214"/>
    </row>
    <row r="37" spans="1:13" ht="25.05" customHeight="1">
      <c r="A37" s="56">
        <v>28</v>
      </c>
      <c r="B37" s="60" t="s">
        <v>144</v>
      </c>
      <c r="C37" s="220">
        <f>+'Bieu 6'!C35</f>
        <v>2183</v>
      </c>
      <c r="D37" s="220">
        <f t="shared" si="6"/>
        <v>2183</v>
      </c>
      <c r="E37" s="220">
        <v>2183</v>
      </c>
      <c r="F37" s="220"/>
      <c r="G37" s="220">
        <f t="shared" si="7"/>
        <v>0</v>
      </c>
      <c r="H37" s="220">
        <v>28646.29037727341</v>
      </c>
      <c r="I37" s="220">
        <v>113961.41562272659</v>
      </c>
      <c r="J37" s="220">
        <f t="shared" si="8"/>
        <v>144790.70600000001</v>
      </c>
      <c r="M37" s="214"/>
    </row>
    <row r="38" spans="1:13" ht="25.05" customHeight="1">
      <c r="A38" s="56">
        <v>29</v>
      </c>
      <c r="B38" s="60" t="s">
        <v>145</v>
      </c>
      <c r="C38" s="220">
        <f>+'Bieu 6'!C36</f>
        <v>5617</v>
      </c>
      <c r="D38" s="220">
        <f t="shared" si="6"/>
        <v>5617</v>
      </c>
      <c r="E38" s="220">
        <v>5617</v>
      </c>
      <c r="F38" s="220"/>
      <c r="G38" s="220">
        <f t="shared" si="7"/>
        <v>0</v>
      </c>
      <c r="H38" s="220">
        <v>40058</v>
      </c>
      <c r="I38" s="220">
        <v>133672</v>
      </c>
      <c r="J38" s="220">
        <f t="shared" si="8"/>
        <v>179347</v>
      </c>
      <c r="M38" s="214"/>
    </row>
    <row r="39" spans="1:13" ht="25.05" customHeight="1">
      <c r="A39" s="56">
        <v>30</v>
      </c>
      <c r="B39" s="60" t="s">
        <v>146</v>
      </c>
      <c r="C39" s="220">
        <f>+'Bieu 6'!C37</f>
        <v>2998</v>
      </c>
      <c r="D39" s="220">
        <f t="shared" si="6"/>
        <v>2998</v>
      </c>
      <c r="E39" s="220">
        <v>2998</v>
      </c>
      <c r="F39" s="220"/>
      <c r="G39" s="220">
        <f t="shared" si="7"/>
        <v>0</v>
      </c>
      <c r="H39" s="220">
        <v>33052</v>
      </c>
      <c r="I39" s="220">
        <v>113135</v>
      </c>
      <c r="J39" s="220">
        <f t="shared" si="8"/>
        <v>149185</v>
      </c>
      <c r="M39" s="214"/>
    </row>
    <row r="40" spans="1:13" ht="25.05" customHeight="1">
      <c r="A40" s="56">
        <v>31</v>
      </c>
      <c r="B40" s="60" t="s">
        <v>147</v>
      </c>
      <c r="C40" s="220">
        <f>+'Bieu 6'!C38</f>
        <v>1131</v>
      </c>
      <c r="D40" s="220">
        <f t="shared" si="6"/>
        <v>1131</v>
      </c>
      <c r="E40" s="220">
        <v>1131</v>
      </c>
      <c r="F40" s="220"/>
      <c r="G40" s="220">
        <f t="shared" si="7"/>
        <v>0</v>
      </c>
      <c r="H40" s="220">
        <v>22364</v>
      </c>
      <c r="I40" s="220">
        <v>82363</v>
      </c>
      <c r="J40" s="220">
        <f t="shared" si="8"/>
        <v>105858</v>
      </c>
      <c r="M40" s="214"/>
    </row>
    <row r="41" spans="1:13" ht="25.05" customHeight="1">
      <c r="A41" s="56">
        <v>32</v>
      </c>
      <c r="B41" s="60" t="s">
        <v>148</v>
      </c>
      <c r="C41" s="220">
        <f>+'Bieu 6'!C39</f>
        <v>1094</v>
      </c>
      <c r="D41" s="220">
        <f t="shared" si="6"/>
        <v>1094</v>
      </c>
      <c r="E41" s="220">
        <v>1094</v>
      </c>
      <c r="F41" s="220"/>
      <c r="G41" s="220">
        <f t="shared" si="7"/>
        <v>0</v>
      </c>
      <c r="H41" s="220">
        <v>16014</v>
      </c>
      <c r="I41" s="220">
        <v>61278</v>
      </c>
      <c r="J41" s="220">
        <f t="shared" si="8"/>
        <v>78386</v>
      </c>
      <c r="M41" s="214"/>
    </row>
    <row r="42" spans="1:13" ht="25.05" customHeight="1">
      <c r="A42" s="56">
        <v>33</v>
      </c>
      <c r="B42" s="60" t="s">
        <v>149</v>
      </c>
      <c r="C42" s="220">
        <f>+'Bieu 6'!C40</f>
        <v>1203</v>
      </c>
      <c r="D42" s="220">
        <f t="shared" si="6"/>
        <v>1203</v>
      </c>
      <c r="E42" s="220">
        <v>1203</v>
      </c>
      <c r="F42" s="220"/>
      <c r="G42" s="220">
        <f t="shared" si="7"/>
        <v>0</v>
      </c>
      <c r="H42" s="220">
        <v>20296</v>
      </c>
      <c r="I42" s="220">
        <v>81226</v>
      </c>
      <c r="J42" s="220">
        <f t="shared" si="8"/>
        <v>102725</v>
      </c>
      <c r="M42" s="214"/>
    </row>
    <row r="43" spans="1:13" ht="25.05" customHeight="1">
      <c r="A43" s="56">
        <v>34</v>
      </c>
      <c r="B43" s="60" t="s">
        <v>150</v>
      </c>
      <c r="C43" s="220">
        <f>+'Bieu 6'!C41</f>
        <v>2821</v>
      </c>
      <c r="D43" s="220">
        <f t="shared" si="6"/>
        <v>2821</v>
      </c>
      <c r="E43" s="220">
        <v>2821</v>
      </c>
      <c r="F43" s="220"/>
      <c r="G43" s="220">
        <f t="shared" si="7"/>
        <v>0</v>
      </c>
      <c r="H43" s="220">
        <v>35301</v>
      </c>
      <c r="I43" s="220">
        <v>128210</v>
      </c>
      <c r="J43" s="220">
        <f t="shared" si="8"/>
        <v>166332</v>
      </c>
      <c r="M43" s="214"/>
    </row>
    <row r="44" spans="1:13" ht="25.05" customHeight="1">
      <c r="A44" s="56">
        <v>35</v>
      </c>
      <c r="B44" s="60" t="s">
        <v>151</v>
      </c>
      <c r="C44" s="220">
        <f>+'Bieu 6'!C42</f>
        <v>2793</v>
      </c>
      <c r="D44" s="220">
        <f t="shared" si="6"/>
        <v>2793</v>
      </c>
      <c r="E44" s="220">
        <v>2793</v>
      </c>
      <c r="F44" s="220"/>
      <c r="G44" s="220">
        <f t="shared" si="7"/>
        <v>0</v>
      </c>
      <c r="H44" s="220">
        <v>31686</v>
      </c>
      <c r="I44" s="220">
        <v>101177</v>
      </c>
      <c r="J44" s="220">
        <f t="shared" si="8"/>
        <v>135656</v>
      </c>
      <c r="M44" s="214"/>
    </row>
    <row r="45" spans="1:13" ht="25.05" customHeight="1">
      <c r="A45" s="56">
        <v>36</v>
      </c>
      <c r="B45" s="60" t="s">
        <v>152</v>
      </c>
      <c r="C45" s="220">
        <f>+'Bieu 6'!C43</f>
        <v>1784</v>
      </c>
      <c r="D45" s="220">
        <f t="shared" si="6"/>
        <v>1784</v>
      </c>
      <c r="E45" s="220">
        <v>1784</v>
      </c>
      <c r="F45" s="220"/>
      <c r="G45" s="220">
        <f t="shared" si="7"/>
        <v>0</v>
      </c>
      <c r="H45" s="220">
        <v>24905</v>
      </c>
      <c r="I45" s="220">
        <v>94214</v>
      </c>
      <c r="J45" s="220">
        <f t="shared" si="8"/>
        <v>120903</v>
      </c>
      <c r="M45" s="214"/>
    </row>
    <row r="46" spans="1:13" ht="25.05" customHeight="1">
      <c r="A46" s="56">
        <v>37</v>
      </c>
      <c r="B46" s="60" t="s">
        <v>153</v>
      </c>
      <c r="C46" s="220">
        <f>+'Bieu 6'!C44</f>
        <v>2457</v>
      </c>
      <c r="D46" s="220">
        <f t="shared" si="6"/>
        <v>2457</v>
      </c>
      <c r="E46" s="220">
        <v>2457</v>
      </c>
      <c r="F46" s="220"/>
      <c r="G46" s="220">
        <f t="shared" si="7"/>
        <v>0</v>
      </c>
      <c r="H46" s="220">
        <v>29928</v>
      </c>
      <c r="I46" s="220">
        <v>100728</v>
      </c>
      <c r="J46" s="220">
        <f t="shared" si="8"/>
        <v>133113</v>
      </c>
      <c r="M46" s="214"/>
    </row>
    <row r="47" spans="1:13" ht="25.05" customHeight="1">
      <c r="A47" s="56">
        <v>38</v>
      </c>
      <c r="B47" s="60" t="s">
        <v>154</v>
      </c>
      <c r="C47" s="220">
        <f>+'Bieu 6'!C45</f>
        <v>1347</v>
      </c>
      <c r="D47" s="220">
        <f t="shared" si="6"/>
        <v>1347</v>
      </c>
      <c r="E47" s="220">
        <v>1347</v>
      </c>
      <c r="F47" s="220"/>
      <c r="G47" s="220">
        <f t="shared" si="7"/>
        <v>0</v>
      </c>
      <c r="H47" s="220">
        <v>20129</v>
      </c>
      <c r="I47" s="220">
        <v>70919</v>
      </c>
      <c r="J47" s="220">
        <f t="shared" si="8"/>
        <v>92395</v>
      </c>
      <c r="M47" s="214"/>
    </row>
    <row r="48" spans="1:13" ht="25.05" customHeight="1">
      <c r="A48" s="56">
        <v>39</v>
      </c>
      <c r="B48" s="60" t="s">
        <v>155</v>
      </c>
      <c r="C48" s="220">
        <f>+'Bieu 6'!C46</f>
        <v>1098</v>
      </c>
      <c r="D48" s="220">
        <f t="shared" si="6"/>
        <v>1098</v>
      </c>
      <c r="E48" s="220">
        <v>1098</v>
      </c>
      <c r="F48" s="220"/>
      <c r="G48" s="220">
        <f t="shared" si="7"/>
        <v>0</v>
      </c>
      <c r="H48" s="220">
        <v>12547</v>
      </c>
      <c r="I48" s="220">
        <v>59815</v>
      </c>
      <c r="J48" s="220">
        <f t="shared" si="8"/>
        <v>73460</v>
      </c>
      <c r="M48" s="214"/>
    </row>
    <row r="49" spans="1:13" ht="25.05" customHeight="1">
      <c r="A49" s="56">
        <v>40</v>
      </c>
      <c r="B49" s="60" t="s">
        <v>157</v>
      </c>
      <c r="C49" s="220">
        <f>+'Bieu 6'!C47</f>
        <v>2427</v>
      </c>
      <c r="D49" s="220">
        <f t="shared" si="6"/>
        <v>2427</v>
      </c>
      <c r="E49" s="220">
        <v>2427</v>
      </c>
      <c r="F49" s="220"/>
      <c r="G49" s="220">
        <f t="shared" si="7"/>
        <v>0</v>
      </c>
      <c r="H49" s="220">
        <v>45685</v>
      </c>
      <c r="I49" s="220">
        <v>151280</v>
      </c>
      <c r="J49" s="220">
        <f t="shared" si="8"/>
        <v>199392</v>
      </c>
      <c r="M49" s="214"/>
    </row>
    <row r="50" spans="1:13" ht="25.05" customHeight="1">
      <c r="A50" s="56">
        <v>41</v>
      </c>
      <c r="B50" s="60" t="s">
        <v>160</v>
      </c>
      <c r="C50" s="220">
        <f>+'Bieu 6'!C48</f>
        <v>866</v>
      </c>
      <c r="D50" s="220">
        <f t="shared" si="6"/>
        <v>866</v>
      </c>
      <c r="E50" s="220">
        <v>866</v>
      </c>
      <c r="F50" s="220"/>
      <c r="G50" s="220">
        <f t="shared" si="7"/>
        <v>0</v>
      </c>
      <c r="H50" s="220">
        <v>13844</v>
      </c>
      <c r="I50" s="220">
        <v>72223</v>
      </c>
      <c r="J50" s="220">
        <f t="shared" si="8"/>
        <v>86933</v>
      </c>
      <c r="M50" s="214"/>
    </row>
    <row r="51" spans="1:13" ht="25.05" customHeight="1">
      <c r="A51" s="56">
        <v>42</v>
      </c>
      <c r="B51" s="60" t="s">
        <v>156</v>
      </c>
      <c r="C51" s="220">
        <f>+'Bieu 6'!C49</f>
        <v>892</v>
      </c>
      <c r="D51" s="220">
        <f t="shared" si="6"/>
        <v>892</v>
      </c>
      <c r="E51" s="220">
        <v>892</v>
      </c>
      <c r="F51" s="220"/>
      <c r="G51" s="220">
        <f t="shared" si="7"/>
        <v>0</v>
      </c>
      <c r="H51" s="220">
        <v>29072</v>
      </c>
      <c r="I51" s="220">
        <v>103526</v>
      </c>
      <c r="J51" s="220">
        <f t="shared" si="8"/>
        <v>133490</v>
      </c>
      <c r="M51" s="214"/>
    </row>
    <row r="52" spans="1:13" ht="25.05" customHeight="1">
      <c r="A52" s="56">
        <v>43</v>
      </c>
      <c r="B52" s="60" t="s">
        <v>158</v>
      </c>
      <c r="C52" s="220">
        <f>+'Bieu 6'!C50</f>
        <v>962</v>
      </c>
      <c r="D52" s="220">
        <f t="shared" si="6"/>
        <v>962</v>
      </c>
      <c r="E52" s="220">
        <v>962</v>
      </c>
      <c r="F52" s="220"/>
      <c r="G52" s="220">
        <f t="shared" si="7"/>
        <v>0</v>
      </c>
      <c r="H52" s="220">
        <v>29072</v>
      </c>
      <c r="I52" s="220">
        <v>121119</v>
      </c>
      <c r="J52" s="220">
        <f t="shared" si="8"/>
        <v>151153</v>
      </c>
      <c r="M52" s="214"/>
    </row>
    <row r="53" spans="1:13" ht="25.05" customHeight="1">
      <c r="A53" s="56">
        <v>44</v>
      </c>
      <c r="B53" s="60" t="s">
        <v>159</v>
      </c>
      <c r="C53" s="220">
        <f>+'Bieu 6'!C51</f>
        <v>805</v>
      </c>
      <c r="D53" s="220">
        <f t="shared" si="6"/>
        <v>805</v>
      </c>
      <c r="E53" s="220">
        <v>805</v>
      </c>
      <c r="F53" s="220"/>
      <c r="G53" s="220">
        <f t="shared" si="7"/>
        <v>0</v>
      </c>
      <c r="H53" s="220">
        <v>20766</v>
      </c>
      <c r="I53" s="220">
        <v>92837</v>
      </c>
      <c r="J53" s="220">
        <f t="shared" si="8"/>
        <v>114408</v>
      </c>
      <c r="M53" s="214"/>
    </row>
    <row r="54" spans="1:13" ht="25.05" customHeight="1">
      <c r="A54" s="56">
        <v>45</v>
      </c>
      <c r="B54" s="60" t="s">
        <v>161</v>
      </c>
      <c r="C54" s="220">
        <f>+'Bieu 6'!C52</f>
        <v>1425</v>
      </c>
      <c r="D54" s="220">
        <f t="shared" si="6"/>
        <v>1425</v>
      </c>
      <c r="E54" s="220">
        <v>1425</v>
      </c>
      <c r="F54" s="220"/>
      <c r="G54" s="220">
        <f t="shared" si="7"/>
        <v>0</v>
      </c>
      <c r="H54" s="220">
        <v>29253</v>
      </c>
      <c r="I54" s="220">
        <v>103692</v>
      </c>
      <c r="J54" s="220">
        <f t="shared" si="8"/>
        <v>134370</v>
      </c>
      <c r="M54" s="214"/>
    </row>
    <row r="55" spans="1:13" ht="25.05" customHeight="1">
      <c r="A55" s="56">
        <v>46</v>
      </c>
      <c r="B55" s="60" t="s">
        <v>162</v>
      </c>
      <c r="C55" s="220">
        <f>+'Bieu 6'!C53</f>
        <v>1133</v>
      </c>
      <c r="D55" s="220">
        <f t="shared" si="6"/>
        <v>1133</v>
      </c>
      <c r="E55" s="220">
        <v>1133</v>
      </c>
      <c r="F55" s="220"/>
      <c r="G55" s="220">
        <f t="shared" si="7"/>
        <v>0</v>
      </c>
      <c r="H55" s="220">
        <v>26252</v>
      </c>
      <c r="I55" s="220">
        <v>122164</v>
      </c>
      <c r="J55" s="220">
        <f t="shared" si="8"/>
        <v>149549</v>
      </c>
      <c r="M55" s="214"/>
    </row>
    <row r="56" spans="1:13" ht="25.05" customHeight="1">
      <c r="A56" s="56">
        <v>47</v>
      </c>
      <c r="B56" s="60" t="s">
        <v>163</v>
      </c>
      <c r="C56" s="220">
        <f>+'Bieu 6'!C54</f>
        <v>1444</v>
      </c>
      <c r="D56" s="220">
        <f t="shared" si="6"/>
        <v>1444</v>
      </c>
      <c r="E56" s="220">
        <v>1444</v>
      </c>
      <c r="F56" s="220"/>
      <c r="G56" s="220">
        <f t="shared" si="7"/>
        <v>0</v>
      </c>
      <c r="H56" s="220">
        <v>26252</v>
      </c>
      <c r="I56" s="220">
        <v>81905</v>
      </c>
      <c r="J56" s="220">
        <f t="shared" si="8"/>
        <v>109601</v>
      </c>
      <c r="M56" s="214"/>
    </row>
    <row r="57" spans="1:13" ht="25.05" customHeight="1">
      <c r="A57" s="56">
        <v>48</v>
      </c>
      <c r="B57" s="60" t="s">
        <v>164</v>
      </c>
      <c r="C57" s="220">
        <f>+'Bieu 6'!C55</f>
        <v>1105</v>
      </c>
      <c r="D57" s="220">
        <f t="shared" si="6"/>
        <v>1105</v>
      </c>
      <c r="E57" s="220">
        <v>1105</v>
      </c>
      <c r="F57" s="220"/>
      <c r="G57" s="220">
        <f t="shared" si="7"/>
        <v>0</v>
      </c>
      <c r="H57" s="220">
        <v>29252</v>
      </c>
      <c r="I57" s="220">
        <v>130735</v>
      </c>
      <c r="J57" s="220">
        <f t="shared" si="8"/>
        <v>161092</v>
      </c>
      <c r="M57" s="214"/>
    </row>
    <row r="58" spans="1:13" ht="25.05" customHeight="1">
      <c r="A58" s="56">
        <v>49</v>
      </c>
      <c r="B58" s="60" t="s">
        <v>176</v>
      </c>
      <c r="C58" s="220">
        <f>+'Bieu 6'!C56</f>
        <v>970</v>
      </c>
      <c r="D58" s="220">
        <f t="shared" si="6"/>
        <v>970</v>
      </c>
      <c r="E58" s="220">
        <v>970</v>
      </c>
      <c r="F58" s="220"/>
      <c r="G58" s="220">
        <f t="shared" si="7"/>
        <v>0</v>
      </c>
      <c r="H58" s="220">
        <v>20252</v>
      </c>
      <c r="I58" s="220">
        <v>58039</v>
      </c>
      <c r="J58" s="220">
        <f t="shared" si="8"/>
        <v>79261</v>
      </c>
      <c r="M58" s="214"/>
    </row>
    <row r="59" spans="1:13" ht="25.05" customHeight="1">
      <c r="A59" s="56">
        <v>50</v>
      </c>
      <c r="B59" s="60" t="s">
        <v>166</v>
      </c>
      <c r="C59" s="220">
        <f>+'Bieu 6'!C57</f>
        <v>2065</v>
      </c>
      <c r="D59" s="220">
        <f t="shared" si="6"/>
        <v>2065</v>
      </c>
      <c r="E59" s="220">
        <v>2065</v>
      </c>
      <c r="F59" s="220"/>
      <c r="G59" s="220">
        <f t="shared" si="7"/>
        <v>0</v>
      </c>
      <c r="H59" s="220">
        <v>29687</v>
      </c>
      <c r="I59" s="220">
        <v>107577.84899999999</v>
      </c>
      <c r="J59" s="220">
        <f t="shared" si="8"/>
        <v>139329.84899999999</v>
      </c>
      <c r="M59" s="214"/>
    </row>
    <row r="60" spans="1:13" ht="25.05" customHeight="1">
      <c r="A60" s="56">
        <v>51</v>
      </c>
      <c r="B60" s="60" t="s">
        <v>167</v>
      </c>
      <c r="C60" s="220">
        <f>+'Bieu 6'!C58</f>
        <v>1205</v>
      </c>
      <c r="D60" s="220">
        <f t="shared" si="6"/>
        <v>1205</v>
      </c>
      <c r="E60" s="220">
        <v>1205</v>
      </c>
      <c r="F60" s="220"/>
      <c r="G60" s="220">
        <f t="shared" si="7"/>
        <v>0</v>
      </c>
      <c r="H60" s="220">
        <v>25516</v>
      </c>
      <c r="I60" s="220">
        <v>86518.576000000001</v>
      </c>
      <c r="J60" s="220">
        <f t="shared" si="8"/>
        <v>113239.576</v>
      </c>
      <c r="M60" s="214"/>
    </row>
    <row r="61" spans="1:13" ht="25.05" customHeight="1">
      <c r="A61" s="56">
        <v>52</v>
      </c>
      <c r="B61" s="60" t="s">
        <v>168</v>
      </c>
      <c r="C61" s="220">
        <f>+'Bieu 6'!C59</f>
        <v>797</v>
      </c>
      <c r="D61" s="220">
        <f t="shared" si="6"/>
        <v>797</v>
      </c>
      <c r="E61" s="220">
        <v>797</v>
      </c>
      <c r="F61" s="220"/>
      <c r="G61" s="220">
        <f t="shared" si="7"/>
        <v>0</v>
      </c>
      <c r="H61" s="220">
        <v>21405</v>
      </c>
      <c r="I61" s="220">
        <v>89822.873999999996</v>
      </c>
      <c r="J61" s="220">
        <f t="shared" si="8"/>
        <v>112024.874</v>
      </c>
      <c r="M61" s="214"/>
    </row>
    <row r="62" spans="1:13" ht="25.05" customHeight="1">
      <c r="A62" s="56">
        <v>53</v>
      </c>
      <c r="B62" s="60" t="s">
        <v>169</v>
      </c>
      <c r="C62" s="220">
        <f>+'Bieu 6'!C60</f>
        <v>3767</v>
      </c>
      <c r="D62" s="220">
        <f t="shared" si="6"/>
        <v>3767</v>
      </c>
      <c r="E62" s="220">
        <v>3767</v>
      </c>
      <c r="F62" s="220"/>
      <c r="G62" s="220">
        <f t="shared" si="7"/>
        <v>0</v>
      </c>
      <c r="H62" s="220">
        <v>19625</v>
      </c>
      <c r="I62" s="220">
        <v>67525.357000000004</v>
      </c>
      <c r="J62" s="220">
        <f t="shared" si="8"/>
        <v>90917.357000000004</v>
      </c>
      <c r="M62" s="214"/>
    </row>
    <row r="63" spans="1:13" ht="25.05" customHeight="1">
      <c r="A63" s="56">
        <v>54</v>
      </c>
      <c r="B63" s="60" t="s">
        <v>165</v>
      </c>
      <c r="C63" s="220">
        <f>+'Bieu 6'!C61</f>
        <v>4156</v>
      </c>
      <c r="D63" s="220">
        <f t="shared" si="6"/>
        <v>4156</v>
      </c>
      <c r="E63" s="220">
        <v>4156</v>
      </c>
      <c r="F63" s="220"/>
      <c r="G63" s="220">
        <f t="shared" si="7"/>
        <v>0</v>
      </c>
      <c r="H63" s="220">
        <v>33979</v>
      </c>
      <c r="I63" s="220">
        <v>125113.92200000002</v>
      </c>
      <c r="J63" s="220">
        <f t="shared" si="8"/>
        <v>163248.92200000002</v>
      </c>
      <c r="M63" s="214"/>
    </row>
    <row r="64" spans="1:13" ht="15.6">
      <c r="A64" s="221"/>
      <c r="B64" s="49" t="s">
        <v>104</v>
      </c>
      <c r="C64" s="222"/>
      <c r="D64" s="222"/>
      <c r="E64" s="222"/>
      <c r="F64" s="222"/>
      <c r="G64" s="222"/>
      <c r="H64" s="222"/>
      <c r="I64" s="222"/>
      <c r="J64" s="222"/>
      <c r="M64" s="214"/>
    </row>
    <row r="65" spans="1:13" ht="15.6" hidden="1">
      <c r="A65" s="221"/>
      <c r="B65" s="223" t="s">
        <v>107</v>
      </c>
      <c r="C65" s="223"/>
      <c r="D65" s="223"/>
      <c r="E65" s="223"/>
      <c r="F65" s="223"/>
      <c r="G65" s="223"/>
      <c r="H65" s="223"/>
      <c r="I65" s="223"/>
      <c r="J65" s="223"/>
      <c r="M65" s="214"/>
    </row>
    <row r="66" spans="1:13" ht="47.25" customHeight="1">
      <c r="B66" s="207" t="s">
        <v>105</v>
      </c>
      <c r="C66" s="207"/>
      <c r="D66" s="207"/>
      <c r="E66" s="207"/>
      <c r="F66" s="207"/>
      <c r="G66" s="207"/>
      <c r="H66" s="207"/>
      <c r="I66" s="207"/>
      <c r="J66" s="207"/>
    </row>
  </sheetData>
  <mergeCells count="15">
    <mergeCell ref="A1:J1"/>
    <mergeCell ref="B65:J65"/>
    <mergeCell ref="B66:J66"/>
    <mergeCell ref="A2:J2"/>
    <mergeCell ref="A5:A7"/>
    <mergeCell ref="B5:B7"/>
    <mergeCell ref="C5:C7"/>
    <mergeCell ref="D5:D7"/>
    <mergeCell ref="E5:G5"/>
    <mergeCell ref="I5:I7"/>
    <mergeCell ref="J5:J7"/>
    <mergeCell ref="E6:E7"/>
    <mergeCell ref="F6:G6"/>
    <mergeCell ref="H5:H7"/>
    <mergeCell ref="A3:J3"/>
  </mergeCells>
  <printOptions horizontalCentered="1"/>
  <pageMargins left="0.51181102362204722" right="0.15748031496062992" top="0.6692913385826772" bottom="0.19685039370078741" header="0.31496062992125984" footer="0.19685039370078741"/>
  <pageSetup paperSize="9" scale="77"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5"/>
  <sheetViews>
    <sheetView topLeftCell="A4" zoomScale="80" zoomScaleNormal="80" workbookViewId="0">
      <pane xSplit="2" ySplit="5" topLeftCell="C33" activePane="bottomRight" state="frozen"/>
      <selection activeCell="A4" sqref="A4"/>
      <selection pane="topRight" activeCell="C4" sqref="C4"/>
      <selection pane="bottomLeft" activeCell="A9" sqref="A9"/>
      <selection pane="bottomRight" activeCell="R18" sqref="R18"/>
    </sheetView>
  </sheetViews>
  <sheetFormatPr defaultColWidth="8.77734375" defaultRowHeight="14.4"/>
  <cols>
    <col min="1" max="1" width="6.21875" style="22" customWidth="1"/>
    <col min="2" max="2" width="23" style="22" customWidth="1"/>
    <col min="3" max="3" width="14.21875" style="22" customWidth="1"/>
    <col min="4" max="4" width="13.77734375" style="22" customWidth="1"/>
    <col min="5" max="5" width="11" style="22" customWidth="1"/>
    <col min="6" max="6" width="11.21875" style="22" customWidth="1"/>
    <col min="7" max="7" width="10.21875" style="22" customWidth="1"/>
    <col min="8" max="8" width="12.44140625" style="22" customWidth="1"/>
    <col min="9" max="9" width="11.77734375" style="22" customWidth="1"/>
    <col min="10" max="10" width="12.5546875" style="22" customWidth="1"/>
    <col min="11" max="11" width="12.77734375" style="22" customWidth="1"/>
    <col min="12" max="12" width="8.77734375" style="22"/>
    <col min="13" max="13" width="0" style="22" hidden="1" customWidth="1"/>
    <col min="14" max="14" width="11.77734375" style="22" hidden="1" customWidth="1"/>
    <col min="15" max="15" width="0" style="22" hidden="1" customWidth="1"/>
    <col min="16" max="16384" width="8.77734375" style="22"/>
  </cols>
  <sheetData>
    <row r="1" spans="1:15" ht="20.55" customHeight="1">
      <c r="A1" s="172" t="s">
        <v>124</v>
      </c>
      <c r="B1" s="172"/>
      <c r="C1" s="172"/>
      <c r="D1" s="172"/>
      <c r="E1" s="172"/>
      <c r="F1" s="172"/>
      <c r="G1" s="172"/>
      <c r="H1" s="172"/>
      <c r="I1" s="172"/>
      <c r="J1" s="172"/>
      <c r="K1" s="172"/>
    </row>
    <row r="2" spans="1:15" ht="25.5" customHeight="1">
      <c r="A2" s="205" t="s">
        <v>171</v>
      </c>
      <c r="B2" s="205"/>
      <c r="C2" s="205"/>
      <c r="D2" s="205"/>
      <c r="E2" s="205"/>
      <c r="F2" s="205"/>
      <c r="G2" s="205"/>
      <c r="H2" s="205"/>
      <c r="I2" s="205"/>
      <c r="J2" s="205"/>
      <c r="K2" s="205"/>
    </row>
    <row r="3" spans="1:15" ht="24" customHeight="1">
      <c r="A3" s="177" t="s">
        <v>177</v>
      </c>
      <c r="B3" s="177"/>
      <c r="C3" s="177"/>
      <c r="D3" s="177"/>
      <c r="E3" s="177"/>
      <c r="F3" s="177"/>
      <c r="G3" s="177"/>
      <c r="H3" s="177"/>
      <c r="I3" s="177"/>
      <c r="J3" s="177"/>
      <c r="K3" s="177"/>
    </row>
    <row r="4" spans="1:15">
      <c r="I4" s="206"/>
      <c r="J4" s="206"/>
    </row>
    <row r="5" spans="1:15" ht="19.5" customHeight="1">
      <c r="A5" s="170" t="s">
        <v>0</v>
      </c>
      <c r="B5" s="170" t="s">
        <v>83</v>
      </c>
      <c r="C5" s="170" t="s">
        <v>66</v>
      </c>
      <c r="D5" s="208" t="s">
        <v>18</v>
      </c>
      <c r="E5" s="209"/>
      <c r="F5" s="209"/>
      <c r="G5" s="209"/>
      <c r="H5" s="209"/>
      <c r="I5" s="209"/>
      <c r="J5" s="209"/>
      <c r="K5" s="170" t="s">
        <v>94</v>
      </c>
    </row>
    <row r="6" spans="1:15" ht="19.5" customHeight="1">
      <c r="A6" s="170"/>
      <c r="B6" s="170"/>
      <c r="C6" s="170"/>
      <c r="D6" s="170" t="s">
        <v>13</v>
      </c>
      <c r="E6" s="170" t="s">
        <v>30</v>
      </c>
      <c r="F6" s="170"/>
      <c r="G6" s="170"/>
      <c r="H6" s="170" t="s">
        <v>11</v>
      </c>
      <c r="I6" s="170"/>
      <c r="J6" s="170" t="s">
        <v>19</v>
      </c>
      <c r="K6" s="170"/>
    </row>
    <row r="7" spans="1:15" ht="21.75" customHeight="1">
      <c r="A7" s="170"/>
      <c r="B7" s="170"/>
      <c r="C7" s="170"/>
      <c r="D7" s="170"/>
      <c r="E7" s="170" t="s">
        <v>13</v>
      </c>
      <c r="F7" s="170" t="s">
        <v>56</v>
      </c>
      <c r="G7" s="170" t="s">
        <v>38</v>
      </c>
      <c r="H7" s="170" t="s">
        <v>13</v>
      </c>
      <c r="I7" s="43" t="s">
        <v>15</v>
      </c>
      <c r="J7" s="170"/>
      <c r="K7" s="170"/>
    </row>
    <row r="8" spans="1:15" ht="74.25" customHeight="1">
      <c r="A8" s="170"/>
      <c r="B8" s="170"/>
      <c r="C8" s="170"/>
      <c r="D8" s="170"/>
      <c r="E8" s="170"/>
      <c r="F8" s="170"/>
      <c r="G8" s="170"/>
      <c r="H8" s="170"/>
      <c r="I8" s="43" t="s">
        <v>57</v>
      </c>
      <c r="J8" s="170"/>
      <c r="K8" s="170"/>
    </row>
    <row r="9" spans="1:15" s="51" customFormat="1" ht="16.2" customHeight="1">
      <c r="A9" s="23" t="s">
        <v>2</v>
      </c>
      <c r="B9" s="23" t="s">
        <v>3</v>
      </c>
      <c r="C9" s="23" t="s">
        <v>84</v>
      </c>
      <c r="D9" s="23" t="s">
        <v>85</v>
      </c>
      <c r="E9" s="23" t="s">
        <v>86</v>
      </c>
      <c r="F9" s="23">
        <v>4</v>
      </c>
      <c r="G9" s="23">
        <v>5</v>
      </c>
      <c r="H9" s="23">
        <v>6</v>
      </c>
      <c r="I9" s="23">
        <v>7</v>
      </c>
      <c r="J9" s="23">
        <v>8</v>
      </c>
      <c r="K9" s="23">
        <v>9</v>
      </c>
    </row>
    <row r="10" spans="1:15" s="25" customFormat="1" ht="27" customHeight="1">
      <c r="A10" s="63"/>
      <c r="B10" s="63" t="s">
        <v>14</v>
      </c>
      <c r="C10" s="64">
        <f>SUM(C11:C64)</f>
        <v>7614641.3628000012</v>
      </c>
      <c r="D10" s="64">
        <f>SUM(D11:D64)</f>
        <v>7570088.2428000011</v>
      </c>
      <c r="E10" s="64">
        <f t="shared" ref="E10:K10" si="0">SUM(E11:E64)</f>
        <v>0</v>
      </c>
      <c r="F10" s="64">
        <f t="shared" si="0"/>
        <v>0</v>
      </c>
      <c r="G10" s="64">
        <f t="shared" si="0"/>
        <v>0</v>
      </c>
      <c r="H10" s="64">
        <f t="shared" si="0"/>
        <v>7421650.2828000011</v>
      </c>
      <c r="I10" s="64">
        <f t="shared" si="0"/>
        <v>5149378.1620000005</v>
      </c>
      <c r="J10" s="64">
        <f t="shared" si="0"/>
        <v>148437.96</v>
      </c>
      <c r="K10" s="64">
        <f t="shared" si="0"/>
        <v>44553.119999999995</v>
      </c>
      <c r="N10" s="21">
        <f>5191383+11544</f>
        <v>5202927</v>
      </c>
      <c r="O10" s="52">
        <f>+I10-N10</f>
        <v>-53548.837999999523</v>
      </c>
    </row>
    <row r="11" spans="1:15" ht="26.25" customHeight="1">
      <c r="A11" s="56">
        <v>1</v>
      </c>
      <c r="B11" s="57" t="s">
        <v>127</v>
      </c>
      <c r="C11" s="65">
        <f t="shared" ref="C11:C21" si="1">+D11+K11</f>
        <v>448964</v>
      </c>
      <c r="D11" s="65">
        <f>+E11+H11+J11</f>
        <v>445045</v>
      </c>
      <c r="E11" s="65">
        <f>+F11+G11</f>
        <v>0</v>
      </c>
      <c r="F11" s="65"/>
      <c r="G11" s="65"/>
      <c r="H11" s="65">
        <v>436319</v>
      </c>
      <c r="I11" s="65">
        <v>275019</v>
      </c>
      <c r="J11" s="65">
        <v>8726</v>
      </c>
      <c r="K11" s="65">
        <f>'Bieu 13'!C7</f>
        <v>3919</v>
      </c>
      <c r="L11" s="70"/>
    </row>
    <row r="12" spans="1:15" ht="27" customHeight="1">
      <c r="A12" s="56">
        <v>2</v>
      </c>
      <c r="B12" s="57" t="s">
        <v>128</v>
      </c>
      <c r="C12" s="65">
        <f t="shared" si="1"/>
        <v>182926</v>
      </c>
      <c r="D12" s="65">
        <f t="shared" ref="D12:D21" si="2">+E12+H12+J12</f>
        <v>181306</v>
      </c>
      <c r="E12" s="65">
        <f t="shared" ref="E12:E21" si="3">+F12+G12</f>
        <v>0</v>
      </c>
      <c r="F12" s="65"/>
      <c r="G12" s="65"/>
      <c r="H12" s="65">
        <v>177751</v>
      </c>
      <c r="I12" s="65">
        <v>101134</v>
      </c>
      <c r="J12" s="65">
        <v>3555</v>
      </c>
      <c r="K12" s="65">
        <f>'Bieu 13'!C8</f>
        <v>1620</v>
      </c>
      <c r="N12" s="22">
        <v>5202927</v>
      </c>
    </row>
    <row r="13" spans="1:15" ht="27" customHeight="1">
      <c r="A13" s="56">
        <v>3</v>
      </c>
      <c r="B13" s="57" t="s">
        <v>129</v>
      </c>
      <c r="C13" s="65">
        <f t="shared" si="1"/>
        <v>152423</v>
      </c>
      <c r="D13" s="65">
        <f t="shared" si="2"/>
        <v>151075</v>
      </c>
      <c r="E13" s="65">
        <f t="shared" si="3"/>
        <v>0</v>
      </c>
      <c r="F13" s="65"/>
      <c r="G13" s="65"/>
      <c r="H13" s="65">
        <v>148113</v>
      </c>
      <c r="I13" s="65">
        <v>98176</v>
      </c>
      <c r="J13" s="65">
        <v>2962</v>
      </c>
      <c r="K13" s="65">
        <f>'Bieu 13'!C9</f>
        <v>1348</v>
      </c>
      <c r="N13" s="30">
        <f>+N10-N12</f>
        <v>0</v>
      </c>
    </row>
    <row r="14" spans="1:15" ht="27" customHeight="1">
      <c r="A14" s="56">
        <v>4</v>
      </c>
      <c r="B14" s="57" t="s">
        <v>130</v>
      </c>
      <c r="C14" s="65">
        <f t="shared" si="1"/>
        <v>65076</v>
      </c>
      <c r="D14" s="65">
        <f t="shared" si="2"/>
        <v>64266</v>
      </c>
      <c r="E14" s="65">
        <f t="shared" si="3"/>
        <v>0</v>
      </c>
      <c r="F14" s="65"/>
      <c r="G14" s="65"/>
      <c r="H14" s="65">
        <v>63006</v>
      </c>
      <c r="I14" s="65">
        <v>42240</v>
      </c>
      <c r="J14" s="65">
        <v>1260</v>
      </c>
      <c r="K14" s="65">
        <f>'Bieu 13'!C10</f>
        <v>810</v>
      </c>
    </row>
    <row r="15" spans="1:15" ht="27" customHeight="1">
      <c r="A15" s="56">
        <v>5</v>
      </c>
      <c r="B15" s="57" t="s">
        <v>131</v>
      </c>
      <c r="C15" s="65">
        <f t="shared" si="1"/>
        <v>283815.57254485716</v>
      </c>
      <c r="D15" s="65">
        <f t="shared" si="2"/>
        <v>283338.60379485716</v>
      </c>
      <c r="E15" s="65">
        <f t="shared" si="3"/>
        <v>0</v>
      </c>
      <c r="F15" s="65"/>
      <c r="G15" s="65"/>
      <c r="H15" s="65">
        <v>277783.00379485718</v>
      </c>
      <c r="I15" s="65">
        <v>199339.59375</v>
      </c>
      <c r="J15" s="65">
        <v>5555.6</v>
      </c>
      <c r="K15" s="65">
        <f>'Bieu 13'!C11</f>
        <v>476.96875</v>
      </c>
    </row>
    <row r="16" spans="1:15" ht="27" customHeight="1">
      <c r="A16" s="56">
        <v>6</v>
      </c>
      <c r="B16" s="57" t="s">
        <v>132</v>
      </c>
      <c r="C16" s="65">
        <f t="shared" si="1"/>
        <v>120781.52745514286</v>
      </c>
      <c r="D16" s="65">
        <f t="shared" si="2"/>
        <v>120591.49620514286</v>
      </c>
      <c r="E16" s="65">
        <f t="shared" si="3"/>
        <v>0</v>
      </c>
      <c r="F16" s="65"/>
      <c r="G16" s="65"/>
      <c r="H16" s="65">
        <v>118226.99620514286</v>
      </c>
      <c r="I16" s="65">
        <v>63235.40625</v>
      </c>
      <c r="J16" s="65">
        <v>2364.5</v>
      </c>
      <c r="K16" s="65">
        <f>'Bieu 13'!C12</f>
        <v>190.03125</v>
      </c>
    </row>
    <row r="17" spans="1:11" ht="27" customHeight="1">
      <c r="A17" s="56">
        <v>7</v>
      </c>
      <c r="B17" s="59" t="s">
        <v>172</v>
      </c>
      <c r="C17" s="65">
        <f t="shared" si="1"/>
        <v>109506</v>
      </c>
      <c r="D17" s="65">
        <f t="shared" si="2"/>
        <v>109282</v>
      </c>
      <c r="E17" s="65">
        <f t="shared" si="3"/>
        <v>0</v>
      </c>
      <c r="F17" s="65"/>
      <c r="G17" s="65"/>
      <c r="H17" s="65">
        <v>107139</v>
      </c>
      <c r="I17" s="65">
        <v>78549</v>
      </c>
      <c r="J17" s="65">
        <v>2143</v>
      </c>
      <c r="K17" s="65">
        <f>'Bieu 13'!C13</f>
        <v>224</v>
      </c>
    </row>
    <row r="18" spans="1:11" ht="27" customHeight="1">
      <c r="A18" s="56">
        <v>8</v>
      </c>
      <c r="B18" s="59" t="s">
        <v>173</v>
      </c>
      <c r="C18" s="65">
        <f t="shared" si="1"/>
        <v>102007</v>
      </c>
      <c r="D18" s="65">
        <f t="shared" si="2"/>
        <v>101788</v>
      </c>
      <c r="E18" s="65">
        <f t="shared" si="3"/>
        <v>0</v>
      </c>
      <c r="F18" s="65"/>
      <c r="G18" s="65"/>
      <c r="H18" s="65">
        <v>99792</v>
      </c>
      <c r="I18" s="65">
        <v>63845</v>
      </c>
      <c r="J18" s="65">
        <v>1996</v>
      </c>
      <c r="K18" s="65">
        <f>'Bieu 13'!C14</f>
        <v>219</v>
      </c>
    </row>
    <row r="19" spans="1:11" ht="27" customHeight="1">
      <c r="A19" s="56">
        <v>9</v>
      </c>
      <c r="B19" s="59" t="s">
        <v>174</v>
      </c>
      <c r="C19" s="65">
        <f t="shared" si="1"/>
        <v>138329</v>
      </c>
      <c r="D19" s="65">
        <f t="shared" si="2"/>
        <v>138110</v>
      </c>
      <c r="E19" s="65">
        <f t="shared" si="3"/>
        <v>0</v>
      </c>
      <c r="F19" s="65"/>
      <c r="G19" s="65"/>
      <c r="H19" s="65">
        <v>135401</v>
      </c>
      <c r="I19" s="65">
        <v>100148</v>
      </c>
      <c r="J19" s="65">
        <v>2709</v>
      </c>
      <c r="K19" s="65">
        <f>'Bieu 13'!C15</f>
        <v>219</v>
      </c>
    </row>
    <row r="20" spans="1:11" ht="27" customHeight="1">
      <c r="A20" s="56">
        <v>10</v>
      </c>
      <c r="B20" s="59" t="s">
        <v>133</v>
      </c>
      <c r="C20" s="65">
        <f t="shared" si="1"/>
        <v>118375</v>
      </c>
      <c r="D20" s="65">
        <f t="shared" si="2"/>
        <v>118156</v>
      </c>
      <c r="E20" s="65">
        <f t="shared" si="3"/>
        <v>0</v>
      </c>
      <c r="F20" s="65"/>
      <c r="G20" s="65"/>
      <c r="H20" s="65">
        <v>115839</v>
      </c>
      <c r="I20" s="65">
        <v>83260</v>
      </c>
      <c r="J20" s="65">
        <v>2317</v>
      </c>
      <c r="K20" s="65">
        <f>'Bieu 13'!C16</f>
        <v>219</v>
      </c>
    </row>
    <row r="21" spans="1:11" ht="24" customHeight="1">
      <c r="A21" s="56">
        <v>11</v>
      </c>
      <c r="B21" s="59" t="s">
        <v>175</v>
      </c>
      <c r="C21" s="65">
        <f t="shared" si="1"/>
        <v>118420</v>
      </c>
      <c r="D21" s="65">
        <f t="shared" si="2"/>
        <v>118201</v>
      </c>
      <c r="E21" s="65">
        <f t="shared" si="3"/>
        <v>0</v>
      </c>
      <c r="F21" s="65"/>
      <c r="G21" s="65"/>
      <c r="H21" s="65">
        <v>115884</v>
      </c>
      <c r="I21" s="65">
        <v>82590</v>
      </c>
      <c r="J21" s="65">
        <v>2317</v>
      </c>
      <c r="K21" s="65">
        <f>'Bieu 13'!C17</f>
        <v>219</v>
      </c>
    </row>
    <row r="22" spans="1:11" ht="24" customHeight="1">
      <c r="A22" s="56">
        <v>12</v>
      </c>
      <c r="B22" s="60" t="s">
        <v>181</v>
      </c>
      <c r="C22" s="65">
        <f t="shared" ref="C22:C64" si="4">+D22+K22</f>
        <v>186424.97</v>
      </c>
      <c r="D22" s="65">
        <f t="shared" ref="D22:D64" si="5">+E22+H22+J22</f>
        <v>185621.97</v>
      </c>
      <c r="E22" s="65">
        <f t="shared" ref="E22:E64" si="6">+F22+G22</f>
        <v>0</v>
      </c>
      <c r="F22" s="65"/>
      <c r="G22" s="65"/>
      <c r="H22" s="65">
        <v>181982.33</v>
      </c>
      <c r="I22" s="65">
        <v>137407</v>
      </c>
      <c r="J22" s="65">
        <v>3639.64</v>
      </c>
      <c r="K22" s="65">
        <f>'Bieu 13'!C18</f>
        <v>803</v>
      </c>
    </row>
    <row r="23" spans="1:11" ht="24" customHeight="1">
      <c r="A23" s="56">
        <v>13</v>
      </c>
      <c r="B23" s="60" t="s">
        <v>182</v>
      </c>
      <c r="C23" s="65">
        <f t="shared" si="4"/>
        <v>149215.93</v>
      </c>
      <c r="D23" s="65">
        <f t="shared" si="5"/>
        <v>148615.32999999999</v>
      </c>
      <c r="E23" s="65">
        <f t="shared" si="6"/>
        <v>0</v>
      </c>
      <c r="F23" s="65"/>
      <c r="G23" s="65"/>
      <c r="H23" s="65">
        <v>145701.31</v>
      </c>
      <c r="I23" s="65">
        <v>105952</v>
      </c>
      <c r="J23" s="65">
        <v>2914.02</v>
      </c>
      <c r="K23" s="65">
        <f>'Bieu 13'!C19</f>
        <v>600.6</v>
      </c>
    </row>
    <row r="24" spans="1:11" ht="24" customHeight="1">
      <c r="A24" s="56">
        <v>14</v>
      </c>
      <c r="B24" s="60" t="s">
        <v>183</v>
      </c>
      <c r="C24" s="65">
        <f t="shared" si="4"/>
        <v>188372.78</v>
      </c>
      <c r="D24" s="65">
        <f t="shared" si="5"/>
        <v>187600.98</v>
      </c>
      <c r="E24" s="65">
        <f t="shared" si="6"/>
        <v>0</v>
      </c>
      <c r="F24" s="65"/>
      <c r="G24" s="65"/>
      <c r="H24" s="65">
        <v>183922.98</v>
      </c>
      <c r="I24" s="65">
        <v>142206</v>
      </c>
      <c r="J24" s="65">
        <v>3678</v>
      </c>
      <c r="K24" s="65">
        <f>'Bieu 13'!C20</f>
        <v>771.8</v>
      </c>
    </row>
    <row r="25" spans="1:11" ht="24" customHeight="1">
      <c r="A25" s="56">
        <v>15</v>
      </c>
      <c r="B25" s="60" t="s">
        <v>184</v>
      </c>
      <c r="C25" s="65">
        <f t="shared" si="4"/>
        <v>152752.75</v>
      </c>
      <c r="D25" s="65">
        <f t="shared" si="5"/>
        <v>152016.75</v>
      </c>
      <c r="E25" s="65">
        <f t="shared" si="6"/>
        <v>0</v>
      </c>
      <c r="F25" s="65"/>
      <c r="G25" s="65"/>
      <c r="H25" s="65">
        <v>149036.03</v>
      </c>
      <c r="I25" s="65">
        <v>109587</v>
      </c>
      <c r="J25" s="65">
        <v>2980.7200000000003</v>
      </c>
      <c r="K25" s="65">
        <f>'Bieu 13'!C21</f>
        <v>736</v>
      </c>
    </row>
    <row r="26" spans="1:11" ht="24" customHeight="1">
      <c r="A26" s="56">
        <v>16</v>
      </c>
      <c r="B26" s="60" t="s">
        <v>185</v>
      </c>
      <c r="C26" s="65">
        <f t="shared" si="4"/>
        <v>194826.86999999997</v>
      </c>
      <c r="D26" s="65">
        <f t="shared" si="5"/>
        <v>193838.06999999998</v>
      </c>
      <c r="E26" s="65">
        <f t="shared" si="6"/>
        <v>0</v>
      </c>
      <c r="F26" s="65"/>
      <c r="G26" s="65"/>
      <c r="H26" s="65">
        <v>190037.33</v>
      </c>
      <c r="I26" s="65">
        <v>147765</v>
      </c>
      <c r="J26" s="65">
        <v>3800.7400000000002</v>
      </c>
      <c r="K26" s="65">
        <f>'Bieu 13'!C22</f>
        <v>988.8</v>
      </c>
    </row>
    <row r="27" spans="1:11" ht="24" customHeight="1">
      <c r="A27" s="56">
        <v>17</v>
      </c>
      <c r="B27" s="60" t="s">
        <v>186</v>
      </c>
      <c r="C27" s="65">
        <f t="shared" si="4"/>
        <v>148246.55999999997</v>
      </c>
      <c r="D27" s="65">
        <f t="shared" si="5"/>
        <v>147631.75999999998</v>
      </c>
      <c r="E27" s="65">
        <f t="shared" si="6"/>
        <v>0</v>
      </c>
      <c r="F27" s="65"/>
      <c r="G27" s="65"/>
      <c r="H27" s="65">
        <v>144737.01999999999</v>
      </c>
      <c r="I27" s="65">
        <v>105584</v>
      </c>
      <c r="J27" s="65">
        <v>2894.7400000000002</v>
      </c>
      <c r="K27" s="65">
        <f>'Bieu 13'!C23</f>
        <v>614.79999999999995</v>
      </c>
    </row>
    <row r="28" spans="1:11" ht="24" customHeight="1">
      <c r="A28" s="56">
        <v>18</v>
      </c>
      <c r="B28" s="60" t="s">
        <v>134</v>
      </c>
      <c r="C28" s="65">
        <f t="shared" si="4"/>
        <v>193069.94659999997</v>
      </c>
      <c r="D28" s="65">
        <f t="shared" si="5"/>
        <v>192218.58659999998</v>
      </c>
      <c r="E28" s="65">
        <f t="shared" si="6"/>
        <v>0</v>
      </c>
      <c r="F28" s="65"/>
      <c r="G28" s="65"/>
      <c r="H28" s="65">
        <v>188451.58659999998</v>
      </c>
      <c r="I28" s="65">
        <v>134249.92199999999</v>
      </c>
      <c r="J28" s="65">
        <v>3767</v>
      </c>
      <c r="K28" s="65">
        <f>'Bieu 13'!C24</f>
        <v>851.36</v>
      </c>
    </row>
    <row r="29" spans="1:11" ht="24" customHeight="1">
      <c r="A29" s="56">
        <v>19</v>
      </c>
      <c r="B29" s="60" t="s">
        <v>135</v>
      </c>
      <c r="C29" s="65">
        <f t="shared" si="4"/>
        <v>103918.0192</v>
      </c>
      <c r="D29" s="65">
        <f t="shared" si="5"/>
        <v>103279.49919999999</v>
      </c>
      <c r="E29" s="65">
        <f t="shared" si="6"/>
        <v>0</v>
      </c>
      <c r="F29" s="65"/>
      <c r="G29" s="65"/>
      <c r="H29" s="65">
        <v>101253.49919999999</v>
      </c>
      <c r="I29" s="65">
        <v>65840.5</v>
      </c>
      <c r="J29" s="65">
        <v>2026</v>
      </c>
      <c r="K29" s="65">
        <f>'Bieu 13'!C25</f>
        <v>638.52</v>
      </c>
    </row>
    <row r="30" spans="1:11" ht="24" customHeight="1">
      <c r="A30" s="56">
        <v>20</v>
      </c>
      <c r="B30" s="60" t="s">
        <v>136</v>
      </c>
      <c r="C30" s="65">
        <f t="shared" si="4"/>
        <v>124150.58600000001</v>
      </c>
      <c r="D30" s="65">
        <f t="shared" si="5"/>
        <v>123512.06600000001</v>
      </c>
      <c r="E30" s="65">
        <f t="shared" si="6"/>
        <v>0</v>
      </c>
      <c r="F30" s="65"/>
      <c r="G30" s="65"/>
      <c r="H30" s="65">
        <v>121089.06600000001</v>
      </c>
      <c r="I30" s="65">
        <v>81683.066999999995</v>
      </c>
      <c r="J30" s="65">
        <v>2423</v>
      </c>
      <c r="K30" s="65">
        <f>'Bieu 13'!C26</f>
        <v>638.52</v>
      </c>
    </row>
    <row r="31" spans="1:11" ht="24" customHeight="1">
      <c r="A31" s="56">
        <v>21</v>
      </c>
      <c r="B31" s="60" t="s">
        <v>137</v>
      </c>
      <c r="C31" s="65">
        <f t="shared" si="4"/>
        <v>131551.48860000001</v>
      </c>
      <c r="D31" s="65">
        <f t="shared" si="5"/>
        <v>130912.96860000001</v>
      </c>
      <c r="E31" s="65">
        <f t="shared" si="6"/>
        <v>0</v>
      </c>
      <c r="F31" s="65"/>
      <c r="G31" s="65"/>
      <c r="H31" s="65">
        <v>128343.96860000001</v>
      </c>
      <c r="I31" s="65">
        <v>92544.97</v>
      </c>
      <c r="J31" s="65">
        <v>2569</v>
      </c>
      <c r="K31" s="65">
        <f>'Bieu 13'!C27</f>
        <v>638.52</v>
      </c>
    </row>
    <row r="32" spans="1:11" ht="24" customHeight="1">
      <c r="A32" s="56">
        <v>22</v>
      </c>
      <c r="B32" s="60" t="s">
        <v>138</v>
      </c>
      <c r="C32" s="65">
        <f t="shared" si="4"/>
        <v>84658.490600000005</v>
      </c>
      <c r="D32" s="65">
        <f t="shared" si="5"/>
        <v>84232.810600000012</v>
      </c>
      <c r="E32" s="65">
        <f t="shared" si="6"/>
        <v>0</v>
      </c>
      <c r="F32" s="65"/>
      <c r="G32" s="65"/>
      <c r="H32" s="65">
        <v>82579.810600000012</v>
      </c>
      <c r="I32" s="65">
        <v>58425.476999999999</v>
      </c>
      <c r="J32" s="65">
        <v>1653</v>
      </c>
      <c r="K32" s="65">
        <f>'Bieu 13'!C28</f>
        <v>425.68</v>
      </c>
    </row>
    <row r="33" spans="1:11" ht="24" customHeight="1">
      <c r="A33" s="56">
        <v>23</v>
      </c>
      <c r="B33" s="60" t="s">
        <v>139</v>
      </c>
      <c r="C33" s="65">
        <f t="shared" si="4"/>
        <v>94358.588799999998</v>
      </c>
      <c r="D33" s="65">
        <f t="shared" si="5"/>
        <v>93720.068799999994</v>
      </c>
      <c r="E33" s="65">
        <f t="shared" si="6"/>
        <v>0</v>
      </c>
      <c r="F33" s="65"/>
      <c r="G33" s="65"/>
      <c r="H33" s="65">
        <v>91885.068799999994</v>
      </c>
      <c r="I33" s="65">
        <v>54571.07</v>
      </c>
      <c r="J33" s="65">
        <v>1835</v>
      </c>
      <c r="K33" s="65">
        <f>'Bieu 13'!C29</f>
        <v>638.52</v>
      </c>
    </row>
    <row r="34" spans="1:11" ht="24" customHeight="1">
      <c r="A34" s="56">
        <v>24</v>
      </c>
      <c r="B34" s="60" t="s">
        <v>141</v>
      </c>
      <c r="C34" s="65">
        <f t="shared" si="4"/>
        <v>131221.973</v>
      </c>
      <c r="D34" s="65">
        <f t="shared" si="5"/>
        <v>130909.973</v>
      </c>
      <c r="E34" s="65">
        <f t="shared" si="6"/>
        <v>0</v>
      </c>
      <c r="F34" s="65"/>
      <c r="G34" s="65"/>
      <c r="H34" s="65">
        <v>128342.973</v>
      </c>
      <c r="I34" s="65">
        <v>99039</v>
      </c>
      <c r="J34" s="65">
        <v>2567</v>
      </c>
      <c r="K34" s="65">
        <f>'Bieu 13'!C30</f>
        <v>312</v>
      </c>
    </row>
    <row r="35" spans="1:11" ht="24" customHeight="1">
      <c r="A35" s="56">
        <v>25</v>
      </c>
      <c r="B35" s="60" t="s">
        <v>142</v>
      </c>
      <c r="C35" s="65">
        <f t="shared" si="4"/>
        <v>139596.81900000002</v>
      </c>
      <c r="D35" s="65">
        <f t="shared" si="5"/>
        <v>139284.81900000002</v>
      </c>
      <c r="E35" s="65">
        <f t="shared" si="6"/>
        <v>0</v>
      </c>
      <c r="F35" s="65"/>
      <c r="G35" s="65"/>
      <c r="H35" s="65">
        <v>136553.81900000002</v>
      </c>
      <c r="I35" s="65">
        <v>99501</v>
      </c>
      <c r="J35" s="65">
        <v>2731</v>
      </c>
      <c r="K35" s="65">
        <f>'Bieu 13'!C31</f>
        <v>312</v>
      </c>
    </row>
    <row r="36" spans="1:11" ht="24" customHeight="1">
      <c r="A36" s="56">
        <v>26</v>
      </c>
      <c r="B36" s="60" t="s">
        <v>140</v>
      </c>
      <c r="C36" s="65">
        <f t="shared" si="4"/>
        <v>156738.06</v>
      </c>
      <c r="D36" s="65">
        <f t="shared" si="5"/>
        <v>156426.06</v>
      </c>
      <c r="E36" s="65">
        <f t="shared" si="6"/>
        <v>0</v>
      </c>
      <c r="F36" s="65"/>
      <c r="G36" s="65"/>
      <c r="H36" s="65">
        <v>153359.06</v>
      </c>
      <c r="I36" s="65">
        <v>107076</v>
      </c>
      <c r="J36" s="65">
        <v>3067</v>
      </c>
      <c r="K36" s="65">
        <f>'Bieu 13'!C32</f>
        <v>312</v>
      </c>
    </row>
    <row r="37" spans="1:11" ht="24" customHeight="1">
      <c r="A37" s="56">
        <v>27</v>
      </c>
      <c r="B37" s="60" t="s">
        <v>143</v>
      </c>
      <c r="C37" s="65">
        <f t="shared" si="4"/>
        <v>149259.44199999998</v>
      </c>
      <c r="D37" s="65">
        <f t="shared" si="5"/>
        <v>148947.44199999998</v>
      </c>
      <c r="E37" s="65">
        <f t="shared" si="6"/>
        <v>0</v>
      </c>
      <c r="F37" s="65"/>
      <c r="G37" s="65"/>
      <c r="H37" s="65">
        <v>146026.44199999998</v>
      </c>
      <c r="I37" s="65">
        <v>103388</v>
      </c>
      <c r="J37" s="65">
        <v>2921</v>
      </c>
      <c r="K37" s="65">
        <f>'Bieu 13'!C33</f>
        <v>312</v>
      </c>
    </row>
    <row r="38" spans="1:11" ht="24" customHeight="1">
      <c r="A38" s="56">
        <v>28</v>
      </c>
      <c r="B38" s="60" t="s">
        <v>144</v>
      </c>
      <c r="C38" s="65">
        <f t="shared" si="4"/>
        <v>145102.70600000001</v>
      </c>
      <c r="D38" s="65">
        <f t="shared" si="5"/>
        <v>144790.70600000001</v>
      </c>
      <c r="E38" s="65">
        <f t="shared" si="6"/>
        <v>0</v>
      </c>
      <c r="F38" s="65"/>
      <c r="G38" s="65"/>
      <c r="H38" s="65">
        <v>141951.70600000001</v>
      </c>
      <c r="I38" s="65">
        <v>89971</v>
      </c>
      <c r="J38" s="65">
        <v>2839</v>
      </c>
      <c r="K38" s="65">
        <f>'Bieu 13'!C34</f>
        <v>312</v>
      </c>
    </row>
    <row r="39" spans="1:11" ht="24" customHeight="1">
      <c r="A39" s="56">
        <v>29</v>
      </c>
      <c r="B39" s="60" t="s">
        <v>145</v>
      </c>
      <c r="C39" s="65">
        <f t="shared" si="4"/>
        <v>180579</v>
      </c>
      <c r="D39" s="65">
        <f t="shared" si="5"/>
        <v>179347</v>
      </c>
      <c r="E39" s="65">
        <f t="shared" si="6"/>
        <v>0</v>
      </c>
      <c r="F39" s="65"/>
      <c r="G39" s="65"/>
      <c r="H39" s="65">
        <v>175830</v>
      </c>
      <c r="I39" s="65">
        <v>129030</v>
      </c>
      <c r="J39" s="65">
        <v>3517</v>
      </c>
      <c r="K39" s="65">
        <f>'Bieu 13'!C35</f>
        <v>1232</v>
      </c>
    </row>
    <row r="40" spans="1:11" ht="24" customHeight="1">
      <c r="A40" s="56">
        <v>30</v>
      </c>
      <c r="B40" s="60" t="s">
        <v>146</v>
      </c>
      <c r="C40" s="65">
        <f t="shared" si="4"/>
        <v>149512</v>
      </c>
      <c r="D40" s="65">
        <f t="shared" si="5"/>
        <v>149185</v>
      </c>
      <c r="E40" s="65">
        <f t="shared" si="6"/>
        <v>0</v>
      </c>
      <c r="F40" s="65"/>
      <c r="G40" s="65"/>
      <c r="H40" s="65">
        <v>146260</v>
      </c>
      <c r="I40" s="65">
        <v>106773</v>
      </c>
      <c r="J40" s="65">
        <v>2925</v>
      </c>
      <c r="K40" s="65">
        <f>'Bieu 13'!C36</f>
        <v>327</v>
      </c>
    </row>
    <row r="41" spans="1:11" ht="24" customHeight="1">
      <c r="A41" s="56">
        <v>31</v>
      </c>
      <c r="B41" s="60" t="s">
        <v>147</v>
      </c>
      <c r="C41" s="65">
        <f t="shared" si="4"/>
        <v>105991</v>
      </c>
      <c r="D41" s="65">
        <f t="shared" si="5"/>
        <v>105858</v>
      </c>
      <c r="E41" s="65">
        <f t="shared" si="6"/>
        <v>0</v>
      </c>
      <c r="F41" s="65"/>
      <c r="G41" s="65"/>
      <c r="H41" s="65">
        <v>103782</v>
      </c>
      <c r="I41" s="65">
        <v>73734</v>
      </c>
      <c r="J41" s="65">
        <v>2076</v>
      </c>
      <c r="K41" s="65">
        <f>'Bieu 13'!C37</f>
        <v>133</v>
      </c>
    </row>
    <row r="42" spans="1:11" ht="24" customHeight="1">
      <c r="A42" s="56">
        <v>32</v>
      </c>
      <c r="B42" s="60" t="s">
        <v>148</v>
      </c>
      <c r="C42" s="65">
        <f t="shared" si="4"/>
        <v>78386</v>
      </c>
      <c r="D42" s="65">
        <f t="shared" si="5"/>
        <v>78386</v>
      </c>
      <c r="E42" s="65">
        <f t="shared" si="6"/>
        <v>0</v>
      </c>
      <c r="F42" s="65"/>
      <c r="G42" s="65"/>
      <c r="H42" s="65">
        <v>76849</v>
      </c>
      <c r="I42" s="65">
        <v>52159</v>
      </c>
      <c r="J42" s="65">
        <v>1537</v>
      </c>
      <c r="K42" s="65">
        <f>'Bieu 13'!C38</f>
        <v>0</v>
      </c>
    </row>
    <row r="43" spans="1:11" ht="24" customHeight="1">
      <c r="A43" s="56">
        <v>33</v>
      </c>
      <c r="B43" s="60" t="s">
        <v>149</v>
      </c>
      <c r="C43" s="65">
        <f t="shared" si="4"/>
        <v>103058</v>
      </c>
      <c r="D43" s="65">
        <f t="shared" si="5"/>
        <v>102725</v>
      </c>
      <c r="E43" s="65">
        <f t="shared" si="6"/>
        <v>0</v>
      </c>
      <c r="F43" s="65"/>
      <c r="G43" s="65"/>
      <c r="H43" s="65">
        <v>100711</v>
      </c>
      <c r="I43" s="65">
        <v>65117</v>
      </c>
      <c r="J43" s="65">
        <v>2014</v>
      </c>
      <c r="K43" s="65">
        <f>'Bieu 13'!C39</f>
        <v>333</v>
      </c>
    </row>
    <row r="44" spans="1:11" ht="24" customHeight="1">
      <c r="A44" s="56">
        <v>34</v>
      </c>
      <c r="B44" s="60" t="s">
        <v>150</v>
      </c>
      <c r="C44" s="65">
        <f t="shared" si="4"/>
        <v>166519</v>
      </c>
      <c r="D44" s="65">
        <f t="shared" si="5"/>
        <v>166332</v>
      </c>
      <c r="E44" s="65">
        <f t="shared" si="6"/>
        <v>0</v>
      </c>
      <c r="F44" s="65"/>
      <c r="G44" s="65"/>
      <c r="H44" s="65">
        <v>163071</v>
      </c>
      <c r="I44" s="65">
        <v>113668</v>
      </c>
      <c r="J44" s="65">
        <v>3261</v>
      </c>
      <c r="K44" s="65">
        <f>'Bieu 13'!C40</f>
        <v>187</v>
      </c>
    </row>
    <row r="45" spans="1:11" ht="24" customHeight="1">
      <c r="A45" s="56">
        <v>35</v>
      </c>
      <c r="B45" s="60" t="s">
        <v>151</v>
      </c>
      <c r="C45" s="65">
        <f t="shared" si="4"/>
        <v>135843</v>
      </c>
      <c r="D45" s="65">
        <f t="shared" si="5"/>
        <v>135656</v>
      </c>
      <c r="E45" s="65">
        <f t="shared" si="6"/>
        <v>0</v>
      </c>
      <c r="F45" s="65"/>
      <c r="G45" s="65"/>
      <c r="H45" s="65">
        <v>132996</v>
      </c>
      <c r="I45" s="65">
        <v>99729</v>
      </c>
      <c r="J45" s="65">
        <v>2660</v>
      </c>
      <c r="K45" s="65">
        <f>'Bieu 13'!C41</f>
        <v>187</v>
      </c>
    </row>
    <row r="46" spans="1:11" ht="24" customHeight="1">
      <c r="A46" s="56">
        <v>36</v>
      </c>
      <c r="B46" s="60" t="s">
        <v>152</v>
      </c>
      <c r="C46" s="65">
        <f t="shared" si="4"/>
        <v>121090</v>
      </c>
      <c r="D46" s="65">
        <f t="shared" si="5"/>
        <v>120903</v>
      </c>
      <c r="E46" s="65">
        <f t="shared" si="6"/>
        <v>0</v>
      </c>
      <c r="F46" s="65"/>
      <c r="G46" s="65"/>
      <c r="H46" s="65">
        <v>118532</v>
      </c>
      <c r="I46" s="65">
        <v>78810</v>
      </c>
      <c r="J46" s="65">
        <v>2371</v>
      </c>
      <c r="K46" s="65">
        <f>'Bieu 13'!C42</f>
        <v>187</v>
      </c>
    </row>
    <row r="47" spans="1:11" ht="24" customHeight="1">
      <c r="A47" s="56">
        <v>37</v>
      </c>
      <c r="B47" s="60" t="s">
        <v>153</v>
      </c>
      <c r="C47" s="65">
        <f t="shared" si="4"/>
        <v>133300</v>
      </c>
      <c r="D47" s="65">
        <f t="shared" si="5"/>
        <v>133113</v>
      </c>
      <c r="E47" s="65">
        <f t="shared" si="6"/>
        <v>0</v>
      </c>
      <c r="F47" s="65"/>
      <c r="G47" s="65"/>
      <c r="H47" s="65">
        <v>130503</v>
      </c>
      <c r="I47" s="65">
        <v>94639</v>
      </c>
      <c r="J47" s="65">
        <v>2610</v>
      </c>
      <c r="K47" s="65">
        <f>'Bieu 13'!C43</f>
        <v>187</v>
      </c>
    </row>
    <row r="48" spans="1:11" ht="24" customHeight="1">
      <c r="A48" s="56">
        <v>38</v>
      </c>
      <c r="B48" s="60" t="s">
        <v>154</v>
      </c>
      <c r="C48" s="65">
        <f t="shared" si="4"/>
        <v>92521</v>
      </c>
      <c r="D48" s="65">
        <f t="shared" si="5"/>
        <v>92395</v>
      </c>
      <c r="E48" s="65">
        <f t="shared" si="6"/>
        <v>0</v>
      </c>
      <c r="F48" s="65"/>
      <c r="G48" s="65"/>
      <c r="H48" s="65">
        <v>90583</v>
      </c>
      <c r="I48" s="65">
        <v>63423</v>
      </c>
      <c r="J48" s="65">
        <v>1812</v>
      </c>
      <c r="K48" s="65">
        <f>'Bieu 13'!C44</f>
        <v>126</v>
      </c>
    </row>
    <row r="49" spans="1:11" ht="24" customHeight="1">
      <c r="A49" s="56">
        <v>39</v>
      </c>
      <c r="B49" s="60" t="s">
        <v>155</v>
      </c>
      <c r="C49" s="65">
        <f t="shared" si="4"/>
        <v>73647</v>
      </c>
      <c r="D49" s="65">
        <f t="shared" si="5"/>
        <v>73460</v>
      </c>
      <c r="E49" s="65">
        <f t="shared" si="6"/>
        <v>0</v>
      </c>
      <c r="F49" s="65"/>
      <c r="G49" s="65"/>
      <c r="H49" s="65">
        <v>72020</v>
      </c>
      <c r="I49" s="65">
        <v>40244</v>
      </c>
      <c r="J49" s="65">
        <v>1440</v>
      </c>
      <c r="K49" s="65">
        <f>'Bieu 13'!C45</f>
        <v>187</v>
      </c>
    </row>
    <row r="50" spans="1:11" ht="24" customHeight="1">
      <c r="A50" s="56">
        <v>40</v>
      </c>
      <c r="B50" s="60" t="s">
        <v>157</v>
      </c>
      <c r="C50" s="65">
        <f t="shared" si="4"/>
        <v>205387.94999999998</v>
      </c>
      <c r="D50" s="65">
        <f t="shared" si="5"/>
        <v>199391.94999999998</v>
      </c>
      <c r="E50" s="65">
        <f t="shared" si="6"/>
        <v>0</v>
      </c>
      <c r="F50" s="65"/>
      <c r="G50" s="65"/>
      <c r="H50" s="65">
        <v>195481.94999999998</v>
      </c>
      <c r="I50" s="65">
        <v>152328</v>
      </c>
      <c r="J50" s="65">
        <v>3910</v>
      </c>
      <c r="K50" s="65">
        <f>'Bieu 13'!C46</f>
        <v>5996</v>
      </c>
    </row>
    <row r="51" spans="1:11" ht="24" customHeight="1">
      <c r="A51" s="56">
        <v>41</v>
      </c>
      <c r="B51" s="60" t="s">
        <v>160</v>
      </c>
      <c r="C51" s="65">
        <f t="shared" si="4"/>
        <v>87310.98</v>
      </c>
      <c r="D51" s="65">
        <f t="shared" si="5"/>
        <v>86932.98</v>
      </c>
      <c r="E51" s="65">
        <f t="shared" si="6"/>
        <v>0</v>
      </c>
      <c r="F51" s="65"/>
      <c r="G51" s="65"/>
      <c r="H51" s="65">
        <v>85227.98</v>
      </c>
      <c r="I51" s="65">
        <v>46496</v>
      </c>
      <c r="J51" s="65">
        <v>1705</v>
      </c>
      <c r="K51" s="65">
        <f>'Bieu 13'!C47</f>
        <v>378</v>
      </c>
    </row>
    <row r="52" spans="1:11" ht="24" customHeight="1">
      <c r="A52" s="56">
        <v>42</v>
      </c>
      <c r="B52" s="60" t="s">
        <v>156</v>
      </c>
      <c r="C52" s="65">
        <f t="shared" si="4"/>
        <v>134272.79999999999</v>
      </c>
      <c r="D52" s="65">
        <f t="shared" si="5"/>
        <v>133489.79999999999</v>
      </c>
      <c r="E52" s="65">
        <f t="shared" si="6"/>
        <v>0</v>
      </c>
      <c r="F52" s="65"/>
      <c r="G52" s="65"/>
      <c r="H52" s="65">
        <v>130871.8</v>
      </c>
      <c r="I52" s="65">
        <v>94285</v>
      </c>
      <c r="J52" s="65">
        <v>2618</v>
      </c>
      <c r="K52" s="65">
        <f>'Bieu 13'!C48</f>
        <v>783</v>
      </c>
    </row>
    <row r="53" spans="1:11" ht="24" customHeight="1">
      <c r="A53" s="56">
        <v>43</v>
      </c>
      <c r="B53" s="60" t="s">
        <v>158</v>
      </c>
      <c r="C53" s="65">
        <f t="shared" si="4"/>
        <v>151682.98500000002</v>
      </c>
      <c r="D53" s="65">
        <f t="shared" si="5"/>
        <v>151152.98500000002</v>
      </c>
      <c r="E53" s="65">
        <f t="shared" si="6"/>
        <v>0</v>
      </c>
      <c r="F53" s="65"/>
      <c r="G53" s="65"/>
      <c r="H53" s="65">
        <v>148187.98500000002</v>
      </c>
      <c r="I53" s="65">
        <v>96686</v>
      </c>
      <c r="J53" s="65">
        <v>2965</v>
      </c>
      <c r="K53" s="65">
        <f>'Bieu 13'!C49</f>
        <v>530</v>
      </c>
    </row>
    <row r="54" spans="1:11" ht="24" customHeight="1">
      <c r="A54" s="56">
        <v>44</v>
      </c>
      <c r="B54" s="60" t="s">
        <v>159</v>
      </c>
      <c r="C54" s="65">
        <f t="shared" si="4"/>
        <v>115692.99</v>
      </c>
      <c r="D54" s="65">
        <f t="shared" si="5"/>
        <v>114407.99</v>
      </c>
      <c r="E54" s="65">
        <f t="shared" si="6"/>
        <v>0</v>
      </c>
      <c r="F54" s="65"/>
      <c r="G54" s="65"/>
      <c r="H54" s="65">
        <v>112163.99</v>
      </c>
      <c r="I54" s="65">
        <v>69892</v>
      </c>
      <c r="J54" s="65">
        <v>2244</v>
      </c>
      <c r="K54" s="65">
        <f>'Bieu 13'!C50</f>
        <v>1285</v>
      </c>
    </row>
    <row r="55" spans="1:11" ht="24" customHeight="1">
      <c r="A55" s="56">
        <v>45</v>
      </c>
      <c r="B55" s="60" t="s">
        <v>161</v>
      </c>
      <c r="C55" s="65">
        <f t="shared" si="4"/>
        <v>135677</v>
      </c>
      <c r="D55" s="65">
        <f t="shared" si="5"/>
        <v>134370</v>
      </c>
      <c r="E55" s="65">
        <f t="shared" si="6"/>
        <v>0</v>
      </c>
      <c r="F55" s="65"/>
      <c r="G55" s="65"/>
      <c r="H55" s="65">
        <v>131735</v>
      </c>
      <c r="I55" s="65">
        <v>82303</v>
      </c>
      <c r="J55" s="65">
        <v>2635</v>
      </c>
      <c r="K55" s="65">
        <f>'Bieu 13'!C51</f>
        <v>1307</v>
      </c>
    </row>
    <row r="56" spans="1:11" ht="24" customHeight="1">
      <c r="A56" s="56">
        <v>46</v>
      </c>
      <c r="B56" s="60" t="s">
        <v>162</v>
      </c>
      <c r="C56" s="65">
        <f t="shared" si="4"/>
        <v>152823</v>
      </c>
      <c r="D56" s="65">
        <f t="shared" si="5"/>
        <v>149549</v>
      </c>
      <c r="E56" s="65">
        <f t="shared" si="6"/>
        <v>0</v>
      </c>
      <c r="F56" s="65"/>
      <c r="G56" s="65"/>
      <c r="H56" s="65">
        <v>146617</v>
      </c>
      <c r="I56" s="65">
        <v>110945</v>
      </c>
      <c r="J56" s="65">
        <v>2932</v>
      </c>
      <c r="K56" s="65">
        <f>'Bieu 13'!C52</f>
        <v>3274</v>
      </c>
    </row>
    <row r="57" spans="1:11" ht="24" customHeight="1">
      <c r="A57" s="56">
        <v>47</v>
      </c>
      <c r="B57" s="60" t="s">
        <v>163</v>
      </c>
      <c r="C57" s="65">
        <f t="shared" si="4"/>
        <v>110161</v>
      </c>
      <c r="D57" s="65">
        <f t="shared" si="5"/>
        <v>109601</v>
      </c>
      <c r="E57" s="65">
        <f t="shared" si="6"/>
        <v>0</v>
      </c>
      <c r="F57" s="65"/>
      <c r="G57" s="65"/>
      <c r="H57" s="65">
        <v>107452</v>
      </c>
      <c r="I57" s="65">
        <v>71982</v>
      </c>
      <c r="J57" s="65">
        <v>2149</v>
      </c>
      <c r="K57" s="65">
        <f>'Bieu 13'!C53</f>
        <v>560</v>
      </c>
    </row>
    <row r="58" spans="1:11" ht="24" customHeight="1">
      <c r="A58" s="56">
        <v>48</v>
      </c>
      <c r="B58" s="60" t="s">
        <v>164</v>
      </c>
      <c r="C58" s="65">
        <f t="shared" si="4"/>
        <v>165707</v>
      </c>
      <c r="D58" s="65">
        <f t="shared" si="5"/>
        <v>161092</v>
      </c>
      <c r="E58" s="65">
        <f t="shared" si="6"/>
        <v>0</v>
      </c>
      <c r="F58" s="65"/>
      <c r="G58" s="65"/>
      <c r="H58" s="65">
        <v>157933</v>
      </c>
      <c r="I58" s="65">
        <v>114309</v>
      </c>
      <c r="J58" s="65">
        <v>3159</v>
      </c>
      <c r="K58" s="65">
        <f>'Bieu 13'!C54</f>
        <v>4615</v>
      </c>
    </row>
    <row r="59" spans="1:11" ht="24" customHeight="1">
      <c r="A59" s="56">
        <v>49</v>
      </c>
      <c r="B59" s="60" t="s">
        <v>176</v>
      </c>
      <c r="C59" s="65">
        <f t="shared" si="4"/>
        <v>80411</v>
      </c>
      <c r="D59" s="65">
        <f t="shared" si="5"/>
        <v>79261</v>
      </c>
      <c r="E59" s="65">
        <f t="shared" si="6"/>
        <v>0</v>
      </c>
      <c r="F59" s="65"/>
      <c r="G59" s="65"/>
      <c r="H59" s="65">
        <v>77707</v>
      </c>
      <c r="I59" s="65">
        <v>53349</v>
      </c>
      <c r="J59" s="65">
        <v>1554</v>
      </c>
      <c r="K59" s="65">
        <f>'Bieu 13'!C55</f>
        <v>1150</v>
      </c>
    </row>
    <row r="60" spans="1:11" ht="24" customHeight="1">
      <c r="A60" s="56">
        <v>50</v>
      </c>
      <c r="B60" s="60" t="s">
        <v>166</v>
      </c>
      <c r="C60" s="65">
        <f t="shared" si="4"/>
        <v>140004.84899999999</v>
      </c>
      <c r="D60" s="65">
        <f t="shared" si="5"/>
        <v>139329.84899999999</v>
      </c>
      <c r="E60" s="65">
        <f t="shared" si="6"/>
        <v>0</v>
      </c>
      <c r="F60" s="65"/>
      <c r="G60" s="65"/>
      <c r="H60" s="65">
        <v>136597.84899999999</v>
      </c>
      <c r="I60" s="65">
        <v>95023.849000000002</v>
      </c>
      <c r="J60" s="65">
        <v>2732</v>
      </c>
      <c r="K60" s="65">
        <f>'Bieu 13'!C56</f>
        <v>675</v>
      </c>
    </row>
    <row r="61" spans="1:11" ht="24" customHeight="1">
      <c r="A61" s="56">
        <v>51</v>
      </c>
      <c r="B61" s="60" t="s">
        <v>167</v>
      </c>
      <c r="C61" s="65">
        <f t="shared" si="4"/>
        <v>113906.576</v>
      </c>
      <c r="D61" s="65">
        <f t="shared" si="5"/>
        <v>113239.576</v>
      </c>
      <c r="E61" s="65">
        <f t="shared" si="6"/>
        <v>0</v>
      </c>
      <c r="F61" s="65"/>
      <c r="G61" s="65"/>
      <c r="H61" s="65">
        <v>111019.576</v>
      </c>
      <c r="I61" s="65">
        <v>72031.576000000001</v>
      </c>
      <c r="J61" s="65">
        <v>2220</v>
      </c>
      <c r="K61" s="65">
        <f>'Bieu 13'!C57</f>
        <v>667</v>
      </c>
    </row>
    <row r="62" spans="1:11" ht="24" customHeight="1">
      <c r="A62" s="56">
        <v>52</v>
      </c>
      <c r="B62" s="60" t="s">
        <v>168</v>
      </c>
      <c r="C62" s="65">
        <f t="shared" si="4"/>
        <v>112236.874</v>
      </c>
      <c r="D62" s="65">
        <f t="shared" si="5"/>
        <v>112024.874</v>
      </c>
      <c r="E62" s="65">
        <f t="shared" si="6"/>
        <v>0</v>
      </c>
      <c r="F62" s="65"/>
      <c r="G62" s="65"/>
      <c r="H62" s="65">
        <v>109827.874</v>
      </c>
      <c r="I62" s="65">
        <v>69366.873999999996</v>
      </c>
      <c r="J62" s="65">
        <v>2197</v>
      </c>
      <c r="K62" s="65">
        <f>'Bieu 13'!C58</f>
        <v>212</v>
      </c>
    </row>
    <row r="63" spans="1:11" ht="24" customHeight="1">
      <c r="A63" s="56">
        <v>53</v>
      </c>
      <c r="B63" s="60" t="s">
        <v>169</v>
      </c>
      <c r="C63" s="65">
        <f t="shared" si="4"/>
        <v>91194.357000000004</v>
      </c>
      <c r="D63" s="65">
        <f t="shared" si="5"/>
        <v>90917.357000000004</v>
      </c>
      <c r="E63" s="65">
        <f t="shared" si="6"/>
        <v>0</v>
      </c>
      <c r="F63" s="65"/>
      <c r="G63" s="65"/>
      <c r="H63" s="65">
        <v>89134.357000000004</v>
      </c>
      <c r="I63" s="65">
        <v>60190.357000000004</v>
      </c>
      <c r="J63" s="65">
        <v>1783</v>
      </c>
      <c r="K63" s="65">
        <f>'Bieu 13'!C59</f>
        <v>277</v>
      </c>
    </row>
    <row r="64" spans="1:11" ht="24" customHeight="1">
      <c r="A64" s="56">
        <v>54</v>
      </c>
      <c r="B64" s="60" t="s">
        <v>165</v>
      </c>
      <c r="C64" s="65">
        <f t="shared" si="4"/>
        <v>163636.92200000002</v>
      </c>
      <c r="D64" s="65">
        <f t="shared" si="5"/>
        <v>163248.92200000002</v>
      </c>
      <c r="E64" s="65">
        <f t="shared" si="6"/>
        <v>0</v>
      </c>
      <c r="F64" s="65"/>
      <c r="G64" s="65"/>
      <c r="H64" s="65">
        <v>160047.92200000002</v>
      </c>
      <c r="I64" s="65">
        <v>120537.5</v>
      </c>
      <c r="J64" s="65">
        <v>3201</v>
      </c>
      <c r="K64" s="65">
        <f>'Bieu 13'!C60</f>
        <v>388</v>
      </c>
    </row>
    <row r="65" spans="2:11" ht="55.5" customHeight="1">
      <c r="B65" s="207" t="s">
        <v>98</v>
      </c>
      <c r="C65" s="207"/>
      <c r="D65" s="207"/>
      <c r="E65" s="207"/>
      <c r="F65" s="207"/>
      <c r="G65" s="207"/>
      <c r="H65" s="207"/>
      <c r="I65" s="207"/>
      <c r="J65" s="207"/>
      <c r="K65" s="207"/>
    </row>
  </sheetData>
  <mergeCells count="18">
    <mergeCell ref="B65:K65"/>
    <mergeCell ref="A5:A8"/>
    <mergeCell ref="B5:B8"/>
    <mergeCell ref="G7:G8"/>
    <mergeCell ref="H7:H8"/>
    <mergeCell ref="J6:J8"/>
    <mergeCell ref="D5:J5"/>
    <mergeCell ref="A1:K1"/>
    <mergeCell ref="A2:K2"/>
    <mergeCell ref="C5:C8"/>
    <mergeCell ref="I4:J4"/>
    <mergeCell ref="D6:D8"/>
    <mergeCell ref="E6:G6"/>
    <mergeCell ref="H6:I6"/>
    <mergeCell ref="K5:K8"/>
    <mergeCell ref="E7:E8"/>
    <mergeCell ref="F7:F8"/>
    <mergeCell ref="A3:K3"/>
  </mergeCells>
  <pageMargins left="0.86614173228346458" right="0.31496062992125984" top="0.94488188976377963" bottom="0.31496062992125984" header="0.31496062992125984" footer="0.31496062992125984"/>
  <pageSetup paperSize="9" scale="9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61"/>
  <sheetViews>
    <sheetView tabSelected="1" workbookViewId="0">
      <pane xSplit="2" ySplit="6" topLeftCell="C16" activePane="bottomRight" state="frozen"/>
      <selection activeCell="E9" sqref="E9"/>
      <selection pane="topRight" activeCell="E9" sqref="E9"/>
      <selection pane="bottomLeft" activeCell="E9" sqref="E9"/>
      <selection pane="bottomRight" sqref="A1:XFD1048576"/>
    </sheetView>
  </sheetViews>
  <sheetFormatPr defaultColWidth="8.77734375" defaultRowHeight="14.4"/>
  <cols>
    <col min="1" max="1" width="6.77734375" style="22" customWidth="1"/>
    <col min="2" max="2" width="50.21875" style="22" customWidth="1"/>
    <col min="3" max="3" width="45.21875" style="22" customWidth="1"/>
    <col min="4" max="4" width="10.21875" style="22" customWidth="1"/>
    <col min="5" max="16384" width="8.77734375" style="22"/>
  </cols>
  <sheetData>
    <row r="1" spans="1:12" ht="16.8">
      <c r="A1" s="173" t="s">
        <v>125</v>
      </c>
      <c r="B1" s="173"/>
      <c r="C1" s="173"/>
      <c r="D1" s="224"/>
      <c r="E1" s="224"/>
      <c r="F1" s="224"/>
      <c r="G1" s="224"/>
      <c r="H1" s="224"/>
      <c r="I1" s="224"/>
      <c r="J1" s="224"/>
      <c r="K1" s="224"/>
      <c r="L1" s="224"/>
    </row>
    <row r="2" spans="1:12" ht="57" customHeight="1">
      <c r="A2" s="167" t="s">
        <v>339</v>
      </c>
      <c r="B2" s="167"/>
      <c r="C2" s="167"/>
    </row>
    <row r="3" spans="1:12" ht="20.25" customHeight="1">
      <c r="A3" s="177" t="s">
        <v>177</v>
      </c>
      <c r="B3" s="177"/>
      <c r="C3" s="177"/>
    </row>
    <row r="4" spans="1:12">
      <c r="C4" s="50" t="s">
        <v>5</v>
      </c>
    </row>
    <row r="5" spans="1:12" ht="48" customHeight="1">
      <c r="A5" s="76" t="s">
        <v>0</v>
      </c>
      <c r="B5" s="76" t="s">
        <v>83</v>
      </c>
      <c r="C5" s="76" t="s">
        <v>67</v>
      </c>
    </row>
    <row r="6" spans="1:12" ht="25.05" customHeight="1">
      <c r="A6" s="76"/>
      <c r="B6" s="66" t="s">
        <v>14</v>
      </c>
      <c r="C6" s="67">
        <f>SUM(C7:C60)</f>
        <v>44553.119999999995</v>
      </c>
    </row>
    <row r="7" spans="1:12" ht="25.05" customHeight="1">
      <c r="A7" s="56">
        <v>1</v>
      </c>
      <c r="B7" s="57" t="s">
        <v>127</v>
      </c>
      <c r="C7" s="68">
        <v>3919</v>
      </c>
    </row>
    <row r="8" spans="1:12" ht="25.05" customHeight="1">
      <c r="A8" s="56">
        <v>2</v>
      </c>
      <c r="B8" s="57" t="s">
        <v>128</v>
      </c>
      <c r="C8" s="68">
        <v>1620</v>
      </c>
    </row>
    <row r="9" spans="1:12" ht="25.05" customHeight="1">
      <c r="A9" s="56">
        <v>3</v>
      </c>
      <c r="B9" s="57" t="s">
        <v>129</v>
      </c>
      <c r="C9" s="68">
        <v>1348</v>
      </c>
    </row>
    <row r="10" spans="1:12" ht="25.05" customHeight="1">
      <c r="A10" s="56">
        <v>4</v>
      </c>
      <c r="B10" s="57" t="s">
        <v>130</v>
      </c>
      <c r="C10" s="68">
        <v>810</v>
      </c>
    </row>
    <row r="11" spans="1:12" ht="25.05" customHeight="1">
      <c r="A11" s="56">
        <v>5</v>
      </c>
      <c r="B11" s="57" t="s">
        <v>131</v>
      </c>
      <c r="C11" s="68">
        <v>476.96875</v>
      </c>
    </row>
    <row r="12" spans="1:12" ht="25.05" customHeight="1">
      <c r="A12" s="56">
        <v>6</v>
      </c>
      <c r="B12" s="57" t="s">
        <v>132</v>
      </c>
      <c r="C12" s="68">
        <v>190.03125</v>
      </c>
    </row>
    <row r="13" spans="1:12" ht="25.05" customHeight="1">
      <c r="A13" s="56">
        <v>7</v>
      </c>
      <c r="B13" s="57" t="s">
        <v>172</v>
      </c>
      <c r="C13" s="68">
        <v>224</v>
      </c>
    </row>
    <row r="14" spans="1:12" ht="25.05" customHeight="1">
      <c r="A14" s="56">
        <v>8</v>
      </c>
      <c r="B14" s="57" t="s">
        <v>173</v>
      </c>
      <c r="C14" s="68">
        <v>219</v>
      </c>
    </row>
    <row r="15" spans="1:12" ht="25.05" customHeight="1">
      <c r="A15" s="56">
        <v>9</v>
      </c>
      <c r="B15" s="57" t="s">
        <v>174</v>
      </c>
      <c r="C15" s="68">
        <v>219</v>
      </c>
    </row>
    <row r="16" spans="1:12" ht="25.05" customHeight="1">
      <c r="A16" s="56">
        <v>10</v>
      </c>
      <c r="B16" s="57" t="s">
        <v>133</v>
      </c>
      <c r="C16" s="68">
        <v>219</v>
      </c>
    </row>
    <row r="17" spans="1:3" ht="24" customHeight="1">
      <c r="A17" s="56">
        <v>11</v>
      </c>
      <c r="B17" s="57" t="s">
        <v>175</v>
      </c>
      <c r="C17" s="68">
        <v>219</v>
      </c>
    </row>
    <row r="18" spans="1:3" ht="24" customHeight="1">
      <c r="A18" s="56">
        <v>12</v>
      </c>
      <c r="B18" s="60" t="s">
        <v>181</v>
      </c>
      <c r="C18" s="68">
        <v>803</v>
      </c>
    </row>
    <row r="19" spans="1:3" ht="24" customHeight="1">
      <c r="A19" s="56">
        <v>13</v>
      </c>
      <c r="B19" s="60" t="s">
        <v>182</v>
      </c>
      <c r="C19" s="68">
        <v>600.6</v>
      </c>
    </row>
    <row r="20" spans="1:3" ht="24" customHeight="1">
      <c r="A20" s="56">
        <v>14</v>
      </c>
      <c r="B20" s="60" t="s">
        <v>183</v>
      </c>
      <c r="C20" s="68">
        <v>771.8</v>
      </c>
    </row>
    <row r="21" spans="1:3" ht="24" customHeight="1">
      <c r="A21" s="56">
        <v>15</v>
      </c>
      <c r="B21" s="60" t="s">
        <v>184</v>
      </c>
      <c r="C21" s="68">
        <v>736</v>
      </c>
    </row>
    <row r="22" spans="1:3" ht="24" customHeight="1">
      <c r="A22" s="56">
        <v>16</v>
      </c>
      <c r="B22" s="60" t="s">
        <v>185</v>
      </c>
      <c r="C22" s="68">
        <v>988.8</v>
      </c>
    </row>
    <row r="23" spans="1:3" ht="24" customHeight="1">
      <c r="A23" s="56">
        <v>17</v>
      </c>
      <c r="B23" s="60" t="s">
        <v>186</v>
      </c>
      <c r="C23" s="68">
        <v>614.79999999999995</v>
      </c>
    </row>
    <row r="24" spans="1:3" ht="24" customHeight="1">
      <c r="A24" s="56">
        <v>18</v>
      </c>
      <c r="B24" s="60" t="s">
        <v>134</v>
      </c>
      <c r="C24" s="68">
        <v>851.36</v>
      </c>
    </row>
    <row r="25" spans="1:3" ht="24" customHeight="1">
      <c r="A25" s="56">
        <v>19</v>
      </c>
      <c r="B25" s="60" t="s">
        <v>135</v>
      </c>
      <c r="C25" s="68">
        <v>638.52</v>
      </c>
    </row>
    <row r="26" spans="1:3" ht="24" customHeight="1">
      <c r="A26" s="56">
        <v>20</v>
      </c>
      <c r="B26" s="60" t="s">
        <v>136</v>
      </c>
      <c r="C26" s="68">
        <v>638.52</v>
      </c>
    </row>
    <row r="27" spans="1:3" ht="24" customHeight="1">
      <c r="A27" s="56">
        <v>21</v>
      </c>
      <c r="B27" s="60" t="s">
        <v>137</v>
      </c>
      <c r="C27" s="68">
        <v>638.52</v>
      </c>
    </row>
    <row r="28" spans="1:3" ht="24" customHeight="1">
      <c r="A28" s="56">
        <v>22</v>
      </c>
      <c r="B28" s="60" t="s">
        <v>138</v>
      </c>
      <c r="C28" s="68">
        <v>425.68</v>
      </c>
    </row>
    <row r="29" spans="1:3" ht="24" customHeight="1">
      <c r="A29" s="56">
        <v>23</v>
      </c>
      <c r="B29" s="60" t="s">
        <v>139</v>
      </c>
      <c r="C29" s="68">
        <v>638.52</v>
      </c>
    </row>
    <row r="30" spans="1:3" ht="24" customHeight="1">
      <c r="A30" s="56">
        <v>24</v>
      </c>
      <c r="B30" s="60" t="s">
        <v>141</v>
      </c>
      <c r="C30" s="68">
        <v>312</v>
      </c>
    </row>
    <row r="31" spans="1:3" ht="24" customHeight="1">
      <c r="A31" s="56">
        <v>25</v>
      </c>
      <c r="B31" s="60" t="s">
        <v>142</v>
      </c>
      <c r="C31" s="68">
        <v>312</v>
      </c>
    </row>
    <row r="32" spans="1:3" ht="24" customHeight="1">
      <c r="A32" s="56">
        <v>26</v>
      </c>
      <c r="B32" s="60" t="s">
        <v>140</v>
      </c>
      <c r="C32" s="68">
        <v>312</v>
      </c>
    </row>
    <row r="33" spans="1:3" ht="24" customHeight="1">
      <c r="A33" s="56">
        <v>27</v>
      </c>
      <c r="B33" s="60" t="s">
        <v>143</v>
      </c>
      <c r="C33" s="68">
        <v>312</v>
      </c>
    </row>
    <row r="34" spans="1:3" ht="24" customHeight="1">
      <c r="A34" s="56">
        <v>28</v>
      </c>
      <c r="B34" s="60" t="s">
        <v>144</v>
      </c>
      <c r="C34" s="68">
        <v>312</v>
      </c>
    </row>
    <row r="35" spans="1:3" ht="24" customHeight="1">
      <c r="A35" s="56">
        <v>29</v>
      </c>
      <c r="B35" s="60" t="s">
        <v>145</v>
      </c>
      <c r="C35" s="68">
        <v>1232</v>
      </c>
    </row>
    <row r="36" spans="1:3" ht="24" customHeight="1">
      <c r="A36" s="56">
        <v>30</v>
      </c>
      <c r="B36" s="60" t="s">
        <v>146</v>
      </c>
      <c r="C36" s="68">
        <v>327</v>
      </c>
    </row>
    <row r="37" spans="1:3" ht="24" customHeight="1">
      <c r="A37" s="56">
        <v>31</v>
      </c>
      <c r="B37" s="60" t="s">
        <v>147</v>
      </c>
      <c r="C37" s="68">
        <v>133</v>
      </c>
    </row>
    <row r="38" spans="1:3" ht="24" customHeight="1">
      <c r="A38" s="56">
        <v>32</v>
      </c>
      <c r="B38" s="60" t="s">
        <v>148</v>
      </c>
      <c r="C38" s="68">
        <v>0</v>
      </c>
    </row>
    <row r="39" spans="1:3" ht="24" customHeight="1">
      <c r="A39" s="56">
        <v>33</v>
      </c>
      <c r="B39" s="60" t="s">
        <v>149</v>
      </c>
      <c r="C39" s="68">
        <v>333</v>
      </c>
    </row>
    <row r="40" spans="1:3" ht="24" customHeight="1">
      <c r="A40" s="56">
        <v>34</v>
      </c>
      <c r="B40" s="60" t="s">
        <v>150</v>
      </c>
      <c r="C40" s="68">
        <v>187</v>
      </c>
    </row>
    <row r="41" spans="1:3" ht="24" customHeight="1">
      <c r="A41" s="56">
        <v>35</v>
      </c>
      <c r="B41" s="60" t="s">
        <v>151</v>
      </c>
      <c r="C41" s="68">
        <v>187</v>
      </c>
    </row>
    <row r="42" spans="1:3" ht="24" customHeight="1">
      <c r="A42" s="56">
        <v>36</v>
      </c>
      <c r="B42" s="60" t="s">
        <v>152</v>
      </c>
      <c r="C42" s="68">
        <v>187</v>
      </c>
    </row>
    <row r="43" spans="1:3" ht="24" customHeight="1">
      <c r="A43" s="56">
        <v>37</v>
      </c>
      <c r="B43" s="60" t="s">
        <v>153</v>
      </c>
      <c r="C43" s="68">
        <v>187</v>
      </c>
    </row>
    <row r="44" spans="1:3" ht="24" customHeight="1">
      <c r="A44" s="56">
        <v>38</v>
      </c>
      <c r="B44" s="60" t="s">
        <v>154</v>
      </c>
      <c r="C44" s="68">
        <v>126</v>
      </c>
    </row>
    <row r="45" spans="1:3" ht="24" customHeight="1">
      <c r="A45" s="56">
        <v>39</v>
      </c>
      <c r="B45" s="60" t="s">
        <v>155</v>
      </c>
      <c r="C45" s="68">
        <v>187</v>
      </c>
    </row>
    <row r="46" spans="1:3" ht="24" customHeight="1">
      <c r="A46" s="56">
        <v>40</v>
      </c>
      <c r="B46" s="60" t="s">
        <v>157</v>
      </c>
      <c r="C46" s="68">
        <v>5996</v>
      </c>
    </row>
    <row r="47" spans="1:3" ht="24" customHeight="1">
      <c r="A47" s="56">
        <v>41</v>
      </c>
      <c r="B47" s="60" t="s">
        <v>160</v>
      </c>
      <c r="C47" s="68">
        <v>378</v>
      </c>
    </row>
    <row r="48" spans="1:3" ht="24" customHeight="1">
      <c r="A48" s="56">
        <v>42</v>
      </c>
      <c r="B48" s="60" t="s">
        <v>156</v>
      </c>
      <c r="C48" s="68">
        <v>783</v>
      </c>
    </row>
    <row r="49" spans="1:3" ht="24" customHeight="1">
      <c r="A49" s="56">
        <v>43</v>
      </c>
      <c r="B49" s="60" t="s">
        <v>158</v>
      </c>
      <c r="C49" s="68">
        <v>530</v>
      </c>
    </row>
    <row r="50" spans="1:3" ht="24" customHeight="1">
      <c r="A50" s="56">
        <v>44</v>
      </c>
      <c r="B50" s="60" t="s">
        <v>159</v>
      </c>
      <c r="C50" s="68">
        <v>1285</v>
      </c>
    </row>
    <row r="51" spans="1:3" ht="24" customHeight="1">
      <c r="A51" s="56">
        <v>45</v>
      </c>
      <c r="B51" s="60" t="s">
        <v>161</v>
      </c>
      <c r="C51" s="68">
        <v>1307</v>
      </c>
    </row>
    <row r="52" spans="1:3" ht="24" customHeight="1">
      <c r="A52" s="56">
        <v>46</v>
      </c>
      <c r="B52" s="60" t="s">
        <v>162</v>
      </c>
      <c r="C52" s="68">
        <v>3274</v>
      </c>
    </row>
    <row r="53" spans="1:3" ht="24" customHeight="1">
      <c r="A53" s="56">
        <v>47</v>
      </c>
      <c r="B53" s="60" t="s">
        <v>163</v>
      </c>
      <c r="C53" s="68">
        <v>560</v>
      </c>
    </row>
    <row r="54" spans="1:3" ht="24" customHeight="1">
      <c r="A54" s="56">
        <v>48</v>
      </c>
      <c r="B54" s="60" t="s">
        <v>164</v>
      </c>
      <c r="C54" s="68">
        <v>4615</v>
      </c>
    </row>
    <row r="55" spans="1:3" ht="24" customHeight="1">
      <c r="A55" s="56">
        <v>49</v>
      </c>
      <c r="B55" s="60" t="s">
        <v>176</v>
      </c>
      <c r="C55" s="68">
        <v>1150</v>
      </c>
    </row>
    <row r="56" spans="1:3" ht="24" customHeight="1">
      <c r="A56" s="56">
        <v>50</v>
      </c>
      <c r="B56" s="60" t="s">
        <v>166</v>
      </c>
      <c r="C56" s="68">
        <v>675</v>
      </c>
    </row>
    <row r="57" spans="1:3" ht="24" customHeight="1">
      <c r="A57" s="56">
        <v>51</v>
      </c>
      <c r="B57" s="60" t="s">
        <v>167</v>
      </c>
      <c r="C57" s="68">
        <v>667</v>
      </c>
    </row>
    <row r="58" spans="1:3" ht="24" customHeight="1">
      <c r="A58" s="56">
        <v>52</v>
      </c>
      <c r="B58" s="60" t="s">
        <v>168</v>
      </c>
      <c r="C58" s="68">
        <v>212</v>
      </c>
    </row>
    <row r="59" spans="1:3" ht="24" customHeight="1">
      <c r="A59" s="56">
        <v>53</v>
      </c>
      <c r="B59" s="60" t="s">
        <v>169</v>
      </c>
      <c r="C59" s="68">
        <v>277</v>
      </c>
    </row>
    <row r="60" spans="1:3" ht="24" customHeight="1">
      <c r="A60" s="56">
        <v>54</v>
      </c>
      <c r="B60" s="60" t="s">
        <v>165</v>
      </c>
      <c r="C60" s="68">
        <v>388</v>
      </c>
    </row>
    <row r="61" spans="1:3" ht="75" customHeight="1">
      <c r="B61" s="207" t="s">
        <v>98</v>
      </c>
      <c r="C61" s="207"/>
    </row>
  </sheetData>
  <mergeCells count="4">
    <mergeCell ref="A2:C2"/>
    <mergeCell ref="A3:C3"/>
    <mergeCell ref="B61:C61"/>
    <mergeCell ref="A1:C1"/>
  </mergeCells>
  <pageMargins left="1.1417322834645669" right="0.15748031496062992" top="0.55118110236220474" bottom="0.55118110236220474" header="0.31496062992125984" footer="0.31496062992125984"/>
  <pageSetup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Bieu 5</vt:lpstr>
      <vt:lpstr>Bieu 6</vt:lpstr>
      <vt:lpstr>Bieu 7</vt:lpstr>
      <vt:lpstr>Bieu 8</vt:lpstr>
      <vt:lpstr>Bieu 9</vt:lpstr>
      <vt:lpstr>Bieu 10</vt:lpstr>
      <vt:lpstr>Bieu 11</vt:lpstr>
      <vt:lpstr>Bieu 12</vt:lpstr>
      <vt:lpstr>Bieu 13</vt:lpstr>
      <vt:lpstr>'Bieu 5'!chuong_phuluc_30</vt:lpstr>
      <vt:lpstr>'Bieu 5'!chuong_phuluc_30_name</vt:lpstr>
      <vt:lpstr>'Bieu 6'!chuong_phuluc_32</vt:lpstr>
      <vt:lpstr>'Bieu 6'!chuong_phuluc_32_name</vt:lpstr>
      <vt:lpstr>'Bieu 7'!chuong_phuluc_33</vt:lpstr>
      <vt:lpstr>'Bieu 7'!chuong_phuluc_33_name</vt:lpstr>
      <vt:lpstr>'Bieu 8'!chuong_phuluc_34_name</vt:lpstr>
      <vt:lpstr>'Bieu 11'!chuong_phuluc_39</vt:lpstr>
      <vt:lpstr>'Bieu 11'!chuong_phuluc_39_name</vt:lpstr>
      <vt:lpstr>'Bieu 12'!chuong_phuluc_41_name</vt:lpstr>
      <vt:lpstr>'Bieu 13'!chuong_phuluc_42_name</vt:lpstr>
      <vt:lpstr>'Bieu 12'!Print_Area</vt:lpstr>
      <vt:lpstr>'Bieu 5'!Print_Area</vt:lpstr>
      <vt:lpstr>'Bieu 6'!Print_Area</vt:lpstr>
      <vt:lpstr>'Bieu 7'!Print_Area</vt:lpstr>
      <vt:lpstr>'Bieu 8'!Print_Area</vt:lpstr>
      <vt:lpstr>'Bieu 11'!Print_Titles</vt:lpstr>
      <vt:lpstr>'Bieu 12'!Print_Titles</vt:lpstr>
      <vt:lpstr>'Bieu 13'!Print_Titles</vt:lpstr>
      <vt:lpstr>'Bieu 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User</cp:lastModifiedBy>
  <cp:lastPrinted>2025-06-09T01:35:26Z</cp:lastPrinted>
  <dcterms:created xsi:type="dcterms:W3CDTF">2017-04-26T02:19:00Z</dcterms:created>
  <dcterms:modified xsi:type="dcterms:W3CDTF">2025-06-09T08:21:28Z</dcterms:modified>
</cp:coreProperties>
</file>