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5480" windowHeight="7860" activeTab="3"/>
  </bookViews>
  <sheets>
    <sheet name="thu 2023" sheetId="39" r:id="rId1"/>
    <sheet name="chi 2023" sheetId="41" r:id="rId2"/>
    <sheet name="thu ĐB" sheetId="42" r:id="rId3"/>
    <sheet name="chi ĐB" sheetId="43" r:id="rId4"/>
  </sheets>
  <definedNames>
    <definedName name="_xlnm.Print_Titles" localSheetId="1">'chi 2023'!$5:$7</definedName>
    <definedName name="_xlnm.Print_Titles" localSheetId="3">'chi ĐB'!$A:$A,'chi ĐB'!$5:$6</definedName>
    <definedName name="_xlnm.Print_Titles" localSheetId="2">'thu ĐB'!$A:$A,'thu ĐB'!$5:$6</definedName>
  </definedNames>
  <calcPr calcId="152511"/>
</workbook>
</file>

<file path=xl/calcChain.xml><?xml version="1.0" encoding="utf-8"?>
<calcChain xmlns="http://schemas.openxmlformats.org/spreadsheetml/2006/main">
  <c r="D36" i="42" l="1"/>
  <c r="L47" i="42"/>
  <c r="O47" i="42"/>
  <c r="AP47" i="42"/>
  <c r="AM47" i="42"/>
  <c r="AG47" i="42"/>
  <c r="AD47" i="42"/>
  <c r="D29" i="39"/>
  <c r="D25" i="39"/>
  <c r="D22" i="39"/>
  <c r="D19" i="39"/>
  <c r="D18" i="39"/>
  <c r="D13" i="39"/>
  <c r="C32" i="42"/>
  <c r="C27" i="42"/>
  <c r="C21" i="42"/>
  <c r="C18" i="42"/>
  <c r="C19" i="42" s="1"/>
  <c r="C17" i="42"/>
  <c r="C12" i="42"/>
  <c r="D20" i="39" l="1"/>
  <c r="D21" i="39" s="1"/>
  <c r="C36" i="43"/>
  <c r="AJ47" i="42"/>
  <c r="AA47" i="42"/>
  <c r="X47" i="42"/>
  <c r="U47" i="42"/>
  <c r="R47" i="42"/>
  <c r="G67" i="41" l="1"/>
  <c r="H67" i="41"/>
  <c r="G68" i="41"/>
  <c r="H68" i="41"/>
  <c r="G70" i="41"/>
  <c r="H70" i="41"/>
  <c r="G71" i="41"/>
  <c r="H71" i="41"/>
  <c r="G72" i="41"/>
  <c r="H72" i="41"/>
  <c r="F69" i="41" l="1"/>
  <c r="F65" i="41"/>
  <c r="C64" i="41"/>
  <c r="B69" i="41"/>
  <c r="B65" i="41"/>
  <c r="B64" i="41" s="1"/>
  <c r="E69" i="39"/>
  <c r="E70" i="39"/>
  <c r="E71" i="39"/>
  <c r="E73" i="39"/>
  <c r="E74" i="39"/>
  <c r="E75" i="39"/>
  <c r="D72" i="39"/>
  <c r="D68" i="39"/>
  <c r="H72" i="39"/>
  <c r="G72" i="39"/>
  <c r="H68" i="39"/>
  <c r="G68" i="39"/>
  <c r="C72" i="39"/>
  <c r="B72" i="39"/>
  <c r="C68" i="39"/>
  <c r="B68" i="39"/>
  <c r="F64" i="41" l="1"/>
  <c r="E72" i="39"/>
  <c r="E68" i="39"/>
  <c r="G69" i="41"/>
  <c r="H69" i="41"/>
  <c r="H42" i="39"/>
  <c r="C26" i="41" l="1"/>
  <c r="O36" i="43" l="1"/>
  <c r="C37" i="43" l="1"/>
  <c r="H46" i="41" l="1"/>
  <c r="C46" i="41" l="1"/>
  <c r="C36" i="41" l="1"/>
  <c r="C39" i="41"/>
  <c r="C38" i="41"/>
  <c r="C37" i="41"/>
  <c r="C29" i="41"/>
  <c r="C28" i="41"/>
  <c r="C50" i="41" l="1"/>
  <c r="H47" i="39" l="1"/>
  <c r="F85" i="41" l="1"/>
  <c r="F86" i="41"/>
  <c r="F87" i="41"/>
  <c r="F84" i="41"/>
  <c r="F36" i="41" l="1"/>
  <c r="G36" i="41" s="1"/>
  <c r="D44" i="41"/>
  <c r="B43" i="41"/>
  <c r="G43" i="41" s="1"/>
  <c r="G44" i="41"/>
  <c r="H44" i="41"/>
  <c r="F55" i="41"/>
  <c r="F50" i="41"/>
  <c r="H50" i="41" s="1"/>
  <c r="G11" i="41"/>
  <c r="H11" i="41"/>
  <c r="G12" i="41"/>
  <c r="H12" i="41"/>
  <c r="G13" i="41"/>
  <c r="H13" i="41"/>
  <c r="G14" i="41"/>
  <c r="H14" i="41"/>
  <c r="H17" i="41"/>
  <c r="G18" i="41"/>
  <c r="H18" i="41"/>
  <c r="G19" i="41"/>
  <c r="H19" i="41"/>
  <c r="G20" i="41"/>
  <c r="H20" i="41"/>
  <c r="G21" i="41"/>
  <c r="H21" i="41"/>
  <c r="G22" i="41"/>
  <c r="H22" i="41"/>
  <c r="G23" i="41"/>
  <c r="H23" i="41"/>
  <c r="G24" i="41"/>
  <c r="H24" i="41"/>
  <c r="G25" i="41"/>
  <c r="H25" i="41"/>
  <c r="G26" i="41"/>
  <c r="H26" i="41"/>
  <c r="G28" i="41"/>
  <c r="H28" i="41"/>
  <c r="G29" i="41"/>
  <c r="H29" i="41"/>
  <c r="G30" i="41"/>
  <c r="H30" i="41"/>
  <c r="G31" i="41"/>
  <c r="H31" i="41"/>
  <c r="G32" i="41"/>
  <c r="H32" i="41"/>
  <c r="G33" i="41"/>
  <c r="H33" i="41"/>
  <c r="G34" i="41"/>
  <c r="H34" i="41"/>
  <c r="G35" i="41"/>
  <c r="H35" i="41"/>
  <c r="H37" i="41"/>
  <c r="G38" i="41"/>
  <c r="H38" i="41"/>
  <c r="G39" i="41"/>
  <c r="H39" i="41"/>
  <c r="G40" i="41"/>
  <c r="H40" i="41"/>
  <c r="G41" i="41"/>
  <c r="H41" i="41"/>
  <c r="G42" i="41"/>
  <c r="H42" i="41"/>
  <c r="H45" i="41"/>
  <c r="G46" i="41"/>
  <c r="G47" i="41"/>
  <c r="H47" i="41"/>
  <c r="G50" i="41"/>
  <c r="G51" i="41"/>
  <c r="H51" i="41"/>
  <c r="G52" i="41"/>
  <c r="H52" i="41"/>
  <c r="G53" i="41"/>
  <c r="H53" i="41"/>
  <c r="H54" i="41"/>
  <c r="G56" i="41"/>
  <c r="H56" i="41"/>
  <c r="G57" i="41"/>
  <c r="H57" i="41"/>
  <c r="G58" i="41"/>
  <c r="H58" i="41"/>
  <c r="G59" i="41"/>
  <c r="H59" i="41"/>
  <c r="G60" i="41"/>
  <c r="H60" i="41"/>
  <c r="G61" i="41"/>
  <c r="H61" i="41"/>
  <c r="G62" i="41"/>
  <c r="H62" i="41"/>
  <c r="G63" i="41"/>
  <c r="H63" i="41"/>
  <c r="G65" i="41"/>
  <c r="H65" i="41"/>
  <c r="G66" i="41"/>
  <c r="H66" i="41"/>
  <c r="B17" i="41"/>
  <c r="D17" i="41" s="1"/>
  <c r="F16" i="41"/>
  <c r="I16" i="41"/>
  <c r="J16" i="41" s="1"/>
  <c r="C55" i="41"/>
  <c r="B55" i="41"/>
  <c r="G55" i="41" s="1"/>
  <c r="H43" i="41" l="1"/>
  <c r="G17" i="41"/>
  <c r="H55" i="41"/>
  <c r="G37" i="41"/>
  <c r="H36" i="41"/>
  <c r="J26" i="41"/>
  <c r="J23" i="41"/>
  <c r="J24" i="41"/>
  <c r="J25" i="41"/>
  <c r="J21" i="41"/>
  <c r="D18" i="41" l="1"/>
  <c r="D19" i="41"/>
  <c r="D20" i="41"/>
  <c r="D21" i="41"/>
  <c r="D22" i="41"/>
  <c r="D23" i="41"/>
  <c r="D24" i="41"/>
  <c r="D25" i="41"/>
  <c r="I61" i="39"/>
  <c r="E61" i="39"/>
  <c r="I60" i="39"/>
  <c r="E60" i="39"/>
  <c r="H46" i="39"/>
  <c r="G47" i="39"/>
  <c r="G46" i="39" s="1"/>
  <c r="I9" i="39"/>
  <c r="I12" i="39"/>
  <c r="I13" i="39"/>
  <c r="I14" i="39"/>
  <c r="I16" i="39"/>
  <c r="I17" i="39"/>
  <c r="I18" i="39"/>
  <c r="I19" i="39"/>
  <c r="I20" i="39"/>
  <c r="I22" i="39"/>
  <c r="I23" i="39"/>
  <c r="I24" i="39"/>
  <c r="I25" i="39"/>
  <c r="I26" i="39"/>
  <c r="I28" i="39"/>
  <c r="I29" i="39"/>
  <c r="I31" i="39"/>
  <c r="I32" i="39"/>
  <c r="I33" i="39"/>
  <c r="I44" i="39"/>
  <c r="I51" i="39"/>
  <c r="I54" i="39"/>
  <c r="I55" i="39"/>
  <c r="I59" i="39"/>
  <c r="I62" i="39"/>
  <c r="I63" i="39"/>
  <c r="I64" i="39"/>
  <c r="I65" i="39"/>
  <c r="I66" i="39"/>
  <c r="I67" i="39"/>
  <c r="H58" i="39"/>
  <c r="H56" i="39" s="1"/>
  <c r="H53" i="39"/>
  <c r="H27" i="39"/>
  <c r="H10" i="39" s="1"/>
  <c r="H37" i="39" s="1"/>
  <c r="H21" i="39"/>
  <c r="E44" i="39"/>
  <c r="H35" i="39" l="1"/>
  <c r="H52" i="39"/>
  <c r="H39" i="39"/>
  <c r="J35" i="39"/>
  <c r="H11" i="39"/>
  <c r="H8" i="39"/>
  <c r="D53" i="39"/>
  <c r="I53" i="39" s="1"/>
  <c r="H34" i="39" l="1"/>
  <c r="H41" i="39"/>
  <c r="H38" i="39"/>
  <c r="D58" i="39"/>
  <c r="I58" i="39" s="1"/>
  <c r="C58" i="39"/>
  <c r="C56" i="39" s="1"/>
  <c r="B58" i="39"/>
  <c r="B56" i="39" s="1"/>
  <c r="C53" i="39"/>
  <c r="B53" i="39"/>
  <c r="C47" i="39"/>
  <c r="C46" i="39" s="1"/>
  <c r="D47" i="39"/>
  <c r="D46" i="39" s="1"/>
  <c r="B47" i="39"/>
  <c r="B46" i="39" s="1"/>
  <c r="C43" i="39"/>
  <c r="D43" i="39"/>
  <c r="I43" i="39" s="1"/>
  <c r="B43" i="39"/>
  <c r="B52" i="39" l="1"/>
  <c r="D56" i="39"/>
  <c r="C52" i="39"/>
  <c r="H36" i="39"/>
  <c r="D52" i="39" l="1"/>
  <c r="I52" i="39" s="1"/>
  <c r="I56" i="39"/>
  <c r="C16" i="41" l="1"/>
  <c r="B16" i="41"/>
  <c r="G16" i="41" l="1"/>
  <c r="H16" i="41"/>
  <c r="F10" i="41"/>
  <c r="F27" i="41" l="1"/>
  <c r="F15" i="41" s="1"/>
  <c r="F9" i="41" s="1"/>
  <c r="M42" i="42" l="1"/>
  <c r="M43" i="42"/>
  <c r="P42" i="42"/>
  <c r="P43" i="42"/>
  <c r="S42" i="42"/>
  <c r="S43" i="42"/>
  <c r="V42" i="42"/>
  <c r="V43" i="42"/>
  <c r="Y42" i="42"/>
  <c r="Y43" i="42"/>
  <c r="AB42" i="42"/>
  <c r="AB43" i="42"/>
  <c r="AE42" i="42"/>
  <c r="AE43" i="42"/>
  <c r="AH42" i="42"/>
  <c r="AH43" i="42"/>
  <c r="AK42" i="42"/>
  <c r="AK43" i="42"/>
  <c r="AN42" i="42"/>
  <c r="AN43" i="42"/>
  <c r="AQ42" i="42"/>
  <c r="AQ43" i="42"/>
  <c r="I42" i="42"/>
  <c r="F42" i="42" s="1"/>
  <c r="I43" i="42"/>
  <c r="F43" i="42" s="1"/>
  <c r="H42" i="42"/>
  <c r="E42" i="42" s="1"/>
  <c r="H43" i="42"/>
  <c r="E43" i="42" s="1"/>
  <c r="D42" i="42"/>
  <c r="D43" i="42"/>
  <c r="G42" i="42" l="1"/>
  <c r="J43" i="42"/>
  <c r="J42" i="42"/>
  <c r="G43" i="42"/>
  <c r="I38" i="43" l="1"/>
  <c r="F38" i="43" s="1"/>
  <c r="H38" i="43"/>
  <c r="E38" i="43" s="1"/>
  <c r="D38" i="43"/>
  <c r="I37" i="43"/>
  <c r="F37" i="43" s="1"/>
  <c r="H37" i="43"/>
  <c r="E37" i="43" s="1"/>
  <c r="D37" i="43"/>
  <c r="AQ36" i="43"/>
  <c r="AN36" i="43"/>
  <c r="AK36" i="43"/>
  <c r="AH36" i="43"/>
  <c r="AE36" i="43"/>
  <c r="AB36" i="43"/>
  <c r="Y36" i="43"/>
  <c r="V36" i="43"/>
  <c r="S36" i="43"/>
  <c r="P36" i="43"/>
  <c r="M36" i="43"/>
  <c r="I36" i="43"/>
  <c r="H36" i="43"/>
  <c r="E36" i="43" s="1"/>
  <c r="D36" i="43"/>
  <c r="AQ35" i="43"/>
  <c r="AN35" i="43"/>
  <c r="AK35" i="43"/>
  <c r="AH35" i="43"/>
  <c r="AE35" i="43"/>
  <c r="AB35" i="43"/>
  <c r="Y35" i="43"/>
  <c r="V35" i="43"/>
  <c r="S35" i="43"/>
  <c r="P35" i="43"/>
  <c r="M35" i="43"/>
  <c r="H35" i="43"/>
  <c r="E35" i="43" s="1"/>
  <c r="D35" i="43"/>
  <c r="AQ34" i="43"/>
  <c r="AN34" i="43"/>
  <c r="AK34" i="43"/>
  <c r="AE34" i="43"/>
  <c r="AB34" i="43"/>
  <c r="Y34" i="43"/>
  <c r="V34" i="43"/>
  <c r="S34" i="43"/>
  <c r="P34" i="43"/>
  <c r="M34" i="43"/>
  <c r="H34" i="43"/>
  <c r="E34" i="43" s="1"/>
  <c r="AQ33" i="43"/>
  <c r="AN33" i="43"/>
  <c r="AK33" i="43"/>
  <c r="AE33" i="43"/>
  <c r="AB33" i="43"/>
  <c r="Y33" i="43"/>
  <c r="V33" i="43"/>
  <c r="S33" i="43"/>
  <c r="P33" i="43"/>
  <c r="M33" i="43"/>
  <c r="H33" i="43"/>
  <c r="E33" i="43"/>
  <c r="D33" i="43"/>
  <c r="AQ32" i="43"/>
  <c r="AN32" i="43"/>
  <c r="AK32" i="43"/>
  <c r="AH32" i="43"/>
  <c r="AE32" i="43"/>
  <c r="AB32" i="43"/>
  <c r="Y32" i="43"/>
  <c r="V32" i="43"/>
  <c r="S32" i="43"/>
  <c r="P32" i="43"/>
  <c r="M32" i="43"/>
  <c r="I32" i="43"/>
  <c r="F32" i="43" s="1"/>
  <c r="H32" i="43"/>
  <c r="E32" i="43" s="1"/>
  <c r="D32" i="43"/>
  <c r="AQ31" i="43"/>
  <c r="AN31" i="43"/>
  <c r="AK31" i="43"/>
  <c r="AH31" i="43"/>
  <c r="AE31" i="43"/>
  <c r="AB31" i="43"/>
  <c r="Y31" i="43"/>
  <c r="V31" i="43"/>
  <c r="S31" i="43"/>
  <c r="P31" i="43"/>
  <c r="M31" i="43"/>
  <c r="I31" i="43"/>
  <c r="H31" i="43"/>
  <c r="E31" i="43" s="1"/>
  <c r="AQ30" i="43"/>
  <c r="AN30" i="43"/>
  <c r="AK30" i="43"/>
  <c r="AH30" i="43"/>
  <c r="AE30" i="43"/>
  <c r="AB30" i="43"/>
  <c r="Y30" i="43"/>
  <c r="V30" i="43"/>
  <c r="S30" i="43"/>
  <c r="P30" i="43"/>
  <c r="M30" i="43"/>
  <c r="I30" i="43"/>
  <c r="H30" i="43"/>
  <c r="E30" i="43" s="1"/>
  <c r="D30" i="43"/>
  <c r="AQ29" i="43"/>
  <c r="AN29" i="43"/>
  <c r="AK29" i="43"/>
  <c r="AH29" i="43"/>
  <c r="AE29" i="43"/>
  <c r="AB29" i="43"/>
  <c r="Y29" i="43"/>
  <c r="V29" i="43"/>
  <c r="S29" i="43"/>
  <c r="P29" i="43"/>
  <c r="M29" i="43"/>
  <c r="I29" i="43"/>
  <c r="H29" i="43"/>
  <c r="E29" i="43" s="1"/>
  <c r="D29" i="43"/>
  <c r="AO28" i="43"/>
  <c r="AQ28" i="43" s="1"/>
  <c r="AL28" i="43"/>
  <c r="AN28" i="43" s="1"/>
  <c r="AI28" i="43"/>
  <c r="AK28" i="43" s="1"/>
  <c r="AF28" i="43"/>
  <c r="AH28" i="43" s="1"/>
  <c r="AC28" i="43"/>
  <c r="Z28" i="43"/>
  <c r="AB28" i="43" s="1"/>
  <c r="W28" i="43"/>
  <c r="Y28" i="43" s="1"/>
  <c r="T28" i="43"/>
  <c r="V28" i="43" s="1"/>
  <c r="Q28" i="43"/>
  <c r="N28" i="43"/>
  <c r="P28" i="43" s="1"/>
  <c r="K28" i="43"/>
  <c r="M28" i="43" s="1"/>
  <c r="I28" i="43"/>
  <c r="B28" i="43"/>
  <c r="AQ27" i="43"/>
  <c r="AN27" i="43"/>
  <c r="AK27" i="43"/>
  <c r="AH27" i="43"/>
  <c r="AE27" i="43"/>
  <c r="AB27" i="43"/>
  <c r="Y27" i="43"/>
  <c r="V27" i="43"/>
  <c r="S27" i="43"/>
  <c r="P27" i="43"/>
  <c r="M27" i="43"/>
  <c r="I27" i="43"/>
  <c r="F27" i="43" s="1"/>
  <c r="H27" i="43"/>
  <c r="E27" i="43" s="1"/>
  <c r="D27" i="43"/>
  <c r="AQ26" i="43"/>
  <c r="AN26" i="43"/>
  <c r="AK26" i="43"/>
  <c r="AH26" i="43"/>
  <c r="AE26" i="43"/>
  <c r="AB26" i="43"/>
  <c r="Y26" i="43"/>
  <c r="V26" i="43"/>
  <c r="S26" i="43"/>
  <c r="P26" i="43"/>
  <c r="M26" i="43"/>
  <c r="I26" i="43"/>
  <c r="F26" i="43" s="1"/>
  <c r="H26" i="43"/>
  <c r="D26" i="43"/>
  <c r="AQ25" i="43"/>
  <c r="AN25" i="43"/>
  <c r="AK25" i="43"/>
  <c r="AH25" i="43"/>
  <c r="AE25" i="43"/>
  <c r="AB25" i="43"/>
  <c r="Y25" i="43"/>
  <c r="V25" i="43"/>
  <c r="S25" i="43"/>
  <c r="P25" i="43"/>
  <c r="M25" i="43"/>
  <c r="I25" i="43"/>
  <c r="H25" i="43"/>
  <c r="E25" i="43" s="1"/>
  <c r="D25" i="43"/>
  <c r="AQ24" i="43"/>
  <c r="AN24" i="43"/>
  <c r="AK24" i="43"/>
  <c r="AH24" i="43"/>
  <c r="AE24" i="43"/>
  <c r="AB24" i="43"/>
  <c r="Y24" i="43"/>
  <c r="V24" i="43"/>
  <c r="S24" i="43"/>
  <c r="P24" i="43"/>
  <c r="M24" i="43"/>
  <c r="I24" i="43"/>
  <c r="F24" i="43" s="1"/>
  <c r="H24" i="43"/>
  <c r="E24" i="43" s="1"/>
  <c r="AQ23" i="43"/>
  <c r="AN23" i="43"/>
  <c r="AK23" i="43"/>
  <c r="AH23" i="43"/>
  <c r="AE23" i="43"/>
  <c r="AB23" i="43"/>
  <c r="Y23" i="43"/>
  <c r="V23" i="43"/>
  <c r="S23" i="43"/>
  <c r="P23" i="43"/>
  <c r="M23" i="43"/>
  <c r="H23" i="43"/>
  <c r="E23" i="43" s="1"/>
  <c r="D23" i="43"/>
  <c r="I22" i="43"/>
  <c r="F22" i="43" s="1"/>
  <c r="H22" i="43"/>
  <c r="E22" i="43" s="1"/>
  <c r="D22" i="43"/>
  <c r="AQ21" i="43"/>
  <c r="AN21" i="43"/>
  <c r="AK21" i="43"/>
  <c r="AH21" i="43"/>
  <c r="AE21" i="43"/>
  <c r="AB21" i="43"/>
  <c r="Y21" i="43"/>
  <c r="V21" i="43"/>
  <c r="S21" i="43"/>
  <c r="P21" i="43"/>
  <c r="M21" i="43"/>
  <c r="I21" i="43"/>
  <c r="H21" i="43"/>
  <c r="E21" i="43" s="1"/>
  <c r="D21" i="43"/>
  <c r="AQ20" i="43"/>
  <c r="AN20" i="43"/>
  <c r="AE20" i="43"/>
  <c r="Y20" i="43"/>
  <c r="V20" i="43"/>
  <c r="S20" i="43"/>
  <c r="P20" i="43"/>
  <c r="H20" i="43"/>
  <c r="E20" i="43" s="1"/>
  <c r="D20" i="43"/>
  <c r="AP19" i="43"/>
  <c r="AO19" i="43"/>
  <c r="AM19" i="43"/>
  <c r="AL19" i="43"/>
  <c r="AI19" i="43"/>
  <c r="AF19" i="43"/>
  <c r="AD19" i="43"/>
  <c r="AC19" i="43"/>
  <c r="Z19" i="43"/>
  <c r="X19" i="43"/>
  <c r="W19" i="43"/>
  <c r="U19" i="43"/>
  <c r="T19" i="43"/>
  <c r="R19" i="43"/>
  <c r="Q19" i="43"/>
  <c r="O19" i="43"/>
  <c r="N19" i="43"/>
  <c r="K19" i="43"/>
  <c r="B19" i="43"/>
  <c r="AO18" i="43"/>
  <c r="AO15" i="43" s="1"/>
  <c r="AO14" i="43" s="1"/>
  <c r="AL18" i="43"/>
  <c r="AL15" i="43" s="1"/>
  <c r="AI18" i="43"/>
  <c r="AI15" i="43" s="1"/>
  <c r="AF18" i="43"/>
  <c r="AH18" i="43" s="1"/>
  <c r="AC18" i="43"/>
  <c r="AC15" i="43" s="1"/>
  <c r="Z18" i="43"/>
  <c r="Z15" i="43" s="1"/>
  <c r="W18" i="43"/>
  <c r="Y18" i="43" s="1"/>
  <c r="T18" i="43"/>
  <c r="T15" i="43" s="1"/>
  <c r="Q18" i="43"/>
  <c r="S18" i="43" s="1"/>
  <c r="N18" i="43"/>
  <c r="N15" i="43" s="1"/>
  <c r="K18" i="43"/>
  <c r="B18" i="43"/>
  <c r="AQ17" i="43"/>
  <c r="AN17" i="43"/>
  <c r="AM15" i="43"/>
  <c r="AK17" i="43"/>
  <c r="AH17" i="43"/>
  <c r="AE17" i="43"/>
  <c r="AB17" i="43"/>
  <c r="Y17" i="43"/>
  <c r="V17" i="43"/>
  <c r="S17" i="43"/>
  <c r="P17" i="43"/>
  <c r="M17" i="43"/>
  <c r="I17" i="43"/>
  <c r="H17" i="43"/>
  <c r="E17" i="43" s="1"/>
  <c r="D17" i="43"/>
  <c r="AQ16" i="43"/>
  <c r="AN16" i="43"/>
  <c r="AK16" i="43"/>
  <c r="AH16" i="43"/>
  <c r="AE16" i="43"/>
  <c r="Y16" i="43"/>
  <c r="V16" i="43"/>
  <c r="S16" i="43"/>
  <c r="H16" i="43"/>
  <c r="B16" i="43"/>
  <c r="AP15" i="43"/>
  <c r="X15" i="43"/>
  <c r="AQ13" i="43"/>
  <c r="AN13" i="43"/>
  <c r="AK13" i="43"/>
  <c r="AH13" i="43"/>
  <c r="AE13" i="43"/>
  <c r="AB13" i="43"/>
  <c r="Y13" i="43"/>
  <c r="V13" i="43"/>
  <c r="S13" i="43"/>
  <c r="P13" i="43"/>
  <c r="M13" i="43"/>
  <c r="I13" i="43"/>
  <c r="H13" i="43"/>
  <c r="E13" i="43" s="1"/>
  <c r="D13" i="43"/>
  <c r="I12" i="43"/>
  <c r="F12" i="43" s="1"/>
  <c r="H12" i="43"/>
  <c r="E12" i="43" s="1"/>
  <c r="D12" i="43"/>
  <c r="I11" i="43"/>
  <c r="F11" i="43" s="1"/>
  <c r="H11" i="43"/>
  <c r="E11" i="43" s="1"/>
  <c r="D11" i="43"/>
  <c r="I10" i="43"/>
  <c r="F10" i="43" s="1"/>
  <c r="H10" i="43"/>
  <c r="E10" i="43" s="1"/>
  <c r="D10" i="43"/>
  <c r="AO9" i="43"/>
  <c r="AL9" i="43"/>
  <c r="AN9" i="43" s="1"/>
  <c r="AI9" i="43"/>
  <c r="AF9" i="43"/>
  <c r="AC9" i="43"/>
  <c r="Z9" i="43"/>
  <c r="AB9" i="43" s="1"/>
  <c r="W9" i="43"/>
  <c r="T9" i="43"/>
  <c r="Q9" i="43"/>
  <c r="S9" i="43" s="1"/>
  <c r="N9" i="43"/>
  <c r="P9" i="43" s="1"/>
  <c r="K9" i="43"/>
  <c r="B9" i="43"/>
  <c r="H48" i="42"/>
  <c r="E48" i="42" s="1"/>
  <c r="F48" i="42"/>
  <c r="D48" i="42"/>
  <c r="AQ47" i="42"/>
  <c r="AN47" i="42"/>
  <c r="AK47" i="42"/>
  <c r="AH47" i="42"/>
  <c r="AE47" i="42"/>
  <c r="AB47" i="42"/>
  <c r="Y47" i="42"/>
  <c r="V47" i="42"/>
  <c r="S47" i="42"/>
  <c r="P47" i="42"/>
  <c r="M47" i="42"/>
  <c r="I47" i="42"/>
  <c r="F47" i="42" s="1"/>
  <c r="H47" i="42"/>
  <c r="E47" i="42" s="1"/>
  <c r="D47" i="42"/>
  <c r="I46" i="42"/>
  <c r="F46" i="42" s="1"/>
  <c r="H46" i="42"/>
  <c r="E46" i="42" s="1"/>
  <c r="D46" i="42"/>
  <c r="AQ45" i="42"/>
  <c r="AN45" i="42"/>
  <c r="AK45" i="42"/>
  <c r="AH45" i="42"/>
  <c r="AE45" i="42"/>
  <c r="AB45" i="42"/>
  <c r="Y45" i="42"/>
  <c r="V45" i="42"/>
  <c r="S45" i="42"/>
  <c r="P45" i="42"/>
  <c r="M45" i="42"/>
  <c r="I45" i="42"/>
  <c r="F45" i="42" s="1"/>
  <c r="H45" i="42"/>
  <c r="E45" i="42" s="1"/>
  <c r="D45" i="42"/>
  <c r="I36" i="42"/>
  <c r="F36" i="42" s="1"/>
  <c r="H36" i="42"/>
  <c r="E36" i="42" s="1"/>
  <c r="I35" i="42"/>
  <c r="F35" i="42" s="1"/>
  <c r="H35" i="42"/>
  <c r="E35" i="42" s="1"/>
  <c r="D35" i="42"/>
  <c r="I34" i="42"/>
  <c r="F34" i="42" s="1"/>
  <c r="H34" i="42"/>
  <c r="E34" i="42" s="1"/>
  <c r="D34" i="42"/>
  <c r="H33" i="42"/>
  <c r="AQ32" i="42"/>
  <c r="AN32" i="42"/>
  <c r="AK32" i="42"/>
  <c r="AH32" i="42"/>
  <c r="AE32" i="42"/>
  <c r="AB32" i="42"/>
  <c r="Y32" i="42"/>
  <c r="V32" i="42"/>
  <c r="S32" i="42"/>
  <c r="P32" i="42"/>
  <c r="M32" i="42"/>
  <c r="I32" i="42"/>
  <c r="H32" i="42"/>
  <c r="E32" i="42" s="1"/>
  <c r="D32" i="42"/>
  <c r="AQ31" i="42"/>
  <c r="AN31" i="42"/>
  <c r="AK31" i="42"/>
  <c r="AH31" i="42"/>
  <c r="AE31" i="42"/>
  <c r="AB31" i="42"/>
  <c r="Y31" i="42"/>
  <c r="V31" i="42"/>
  <c r="S31" i="42"/>
  <c r="P31" i="42"/>
  <c r="M31" i="42"/>
  <c r="I31" i="42"/>
  <c r="H31" i="42"/>
  <c r="E31" i="42" s="1"/>
  <c r="D31" i="42"/>
  <c r="AP30" i="42"/>
  <c r="AP9" i="42" s="1"/>
  <c r="AO30" i="42"/>
  <c r="AO9" i="42" s="1"/>
  <c r="AO41" i="42" s="1"/>
  <c r="AO44" i="42" s="1"/>
  <c r="AM30" i="42"/>
  <c r="AL30" i="42"/>
  <c r="AL9" i="42" s="1"/>
  <c r="AL41" i="42" s="1"/>
  <c r="AL44" i="42" s="1"/>
  <c r="AJ30" i="42"/>
  <c r="AI30" i="42"/>
  <c r="AI9" i="42" s="1"/>
  <c r="AI41" i="42" s="1"/>
  <c r="AI44" i="42" s="1"/>
  <c r="AG30" i="42"/>
  <c r="AF30" i="42"/>
  <c r="AF9" i="42" s="1"/>
  <c r="AF41" i="42" s="1"/>
  <c r="AF44" i="42" s="1"/>
  <c r="AD30" i="42"/>
  <c r="AD9" i="42" s="1"/>
  <c r="AD7" i="42" s="1"/>
  <c r="AC30" i="42"/>
  <c r="AC9" i="42" s="1"/>
  <c r="AA30" i="42"/>
  <c r="Z30" i="42"/>
  <c r="Z9" i="42" s="1"/>
  <c r="X30" i="42"/>
  <c r="W30" i="42"/>
  <c r="W9" i="42" s="1"/>
  <c r="U30" i="42"/>
  <c r="U9" i="42" s="1"/>
  <c r="U7" i="42" s="1"/>
  <c r="T30" i="42"/>
  <c r="T9" i="42" s="1"/>
  <c r="R30" i="42"/>
  <c r="R9" i="42" s="1"/>
  <c r="R7" i="42" s="1"/>
  <c r="Q30" i="42"/>
  <c r="Q9" i="42" s="1"/>
  <c r="O30" i="42"/>
  <c r="N30" i="42"/>
  <c r="N9" i="42" s="1"/>
  <c r="L30" i="42"/>
  <c r="K30" i="42"/>
  <c r="K9" i="42" s="1"/>
  <c r="C30" i="42"/>
  <c r="B30" i="42"/>
  <c r="B9" i="42" s="1"/>
  <c r="B7" i="42" s="1"/>
  <c r="AQ29" i="42"/>
  <c r="M29" i="42"/>
  <c r="I29" i="42"/>
  <c r="H29" i="42"/>
  <c r="E29" i="42" s="1"/>
  <c r="D29" i="42"/>
  <c r="H28" i="42"/>
  <c r="AQ27" i="42"/>
  <c r="AK27" i="42"/>
  <c r="AE27" i="42"/>
  <c r="AB27" i="42"/>
  <c r="Y27" i="42"/>
  <c r="V27" i="42"/>
  <c r="S27" i="42"/>
  <c r="P27" i="42"/>
  <c r="M27" i="42"/>
  <c r="I27" i="42"/>
  <c r="H27" i="42"/>
  <c r="E27" i="42" s="1"/>
  <c r="D27" i="42"/>
  <c r="AQ26" i="42"/>
  <c r="AN26" i="42"/>
  <c r="AK26" i="42"/>
  <c r="AH26" i="42"/>
  <c r="AE26" i="42"/>
  <c r="AB26" i="42"/>
  <c r="Y26" i="42"/>
  <c r="V26" i="42"/>
  <c r="S26" i="42"/>
  <c r="P26" i="42"/>
  <c r="M26" i="42"/>
  <c r="H26" i="42"/>
  <c r="E26" i="42" s="1"/>
  <c r="D26" i="42"/>
  <c r="AP25" i="42"/>
  <c r="AO25" i="42"/>
  <c r="AM25" i="42"/>
  <c r="AL25" i="42"/>
  <c r="AJ25" i="42"/>
  <c r="AI25" i="42"/>
  <c r="AG25" i="42"/>
  <c r="AF25" i="42"/>
  <c r="AD25" i="42"/>
  <c r="AC25" i="42"/>
  <c r="AA25" i="42"/>
  <c r="Z25" i="42"/>
  <c r="X25" i="42"/>
  <c r="W25" i="42"/>
  <c r="U25" i="42"/>
  <c r="T25" i="42"/>
  <c r="R25" i="42"/>
  <c r="Q25" i="42"/>
  <c r="O25" i="42"/>
  <c r="N25" i="42"/>
  <c r="L25" i="42"/>
  <c r="K25" i="42"/>
  <c r="C25" i="42"/>
  <c r="B25" i="42"/>
  <c r="AQ24" i="42"/>
  <c r="AN24" i="42"/>
  <c r="AK24" i="42"/>
  <c r="AH24" i="42"/>
  <c r="AE24" i="42"/>
  <c r="AB24" i="42"/>
  <c r="Y24" i="42"/>
  <c r="S24" i="42"/>
  <c r="P24" i="42"/>
  <c r="I24" i="42"/>
  <c r="H24" i="42"/>
  <c r="E24" i="42" s="1"/>
  <c r="D24" i="42"/>
  <c r="I23" i="42"/>
  <c r="F23" i="42" s="1"/>
  <c r="H23" i="42"/>
  <c r="E23" i="42" s="1"/>
  <c r="D23" i="42"/>
  <c r="AQ22" i="42"/>
  <c r="AN22" i="42"/>
  <c r="AK22" i="42"/>
  <c r="AH22" i="42"/>
  <c r="AE22" i="42"/>
  <c r="AB22" i="42"/>
  <c r="Y22" i="42"/>
  <c r="V22" i="42"/>
  <c r="S22" i="42"/>
  <c r="P22" i="42"/>
  <c r="M22" i="42"/>
  <c r="I22" i="42"/>
  <c r="F22" i="42" s="1"/>
  <c r="H22" i="42"/>
  <c r="E22" i="42" s="1"/>
  <c r="D22" i="42"/>
  <c r="AQ21" i="42"/>
  <c r="AN21" i="42"/>
  <c r="AK21" i="42"/>
  <c r="AH21" i="42"/>
  <c r="AE21" i="42"/>
  <c r="AB21" i="42"/>
  <c r="Y21" i="42"/>
  <c r="V21" i="42"/>
  <c r="S21" i="42"/>
  <c r="P21" i="42"/>
  <c r="M21" i="42"/>
  <c r="I21" i="42"/>
  <c r="H21" i="42"/>
  <c r="E21" i="42" s="1"/>
  <c r="D21" i="42"/>
  <c r="AP20" i="42"/>
  <c r="AO20" i="42"/>
  <c r="AM20" i="42"/>
  <c r="AL20" i="42"/>
  <c r="AJ20" i="42"/>
  <c r="AI20" i="42"/>
  <c r="AG20" i="42"/>
  <c r="AF20" i="42"/>
  <c r="AD20" i="42"/>
  <c r="AC20" i="42"/>
  <c r="AA20" i="42"/>
  <c r="Z20" i="42"/>
  <c r="X20" i="42"/>
  <c r="W20" i="42"/>
  <c r="U20" i="42"/>
  <c r="T20" i="42"/>
  <c r="R20" i="42"/>
  <c r="Q20" i="42"/>
  <c r="O20" i="42"/>
  <c r="N20" i="42"/>
  <c r="L20" i="42"/>
  <c r="K20" i="42"/>
  <c r="C20" i="42"/>
  <c r="B20" i="42"/>
  <c r="AN19" i="42"/>
  <c r="I19" i="42"/>
  <c r="F19" i="42" s="1"/>
  <c r="H19" i="42"/>
  <c r="E19" i="42" s="1"/>
  <c r="D19" i="42"/>
  <c r="AN18" i="42"/>
  <c r="I18" i="42"/>
  <c r="H18" i="42"/>
  <c r="E18" i="42" s="1"/>
  <c r="D18" i="42"/>
  <c r="AQ17" i="42"/>
  <c r="AN17" i="42"/>
  <c r="AK17" i="42"/>
  <c r="AH17" i="42"/>
  <c r="AE17" i="42"/>
  <c r="AB17" i="42"/>
  <c r="Y17" i="42"/>
  <c r="V17" i="42"/>
  <c r="S17" i="42"/>
  <c r="P17" i="42"/>
  <c r="M17" i="42"/>
  <c r="I17" i="42"/>
  <c r="H17" i="42"/>
  <c r="E17" i="42" s="1"/>
  <c r="D17" i="42"/>
  <c r="AQ16" i="42"/>
  <c r="AN16" i="42"/>
  <c r="AK16" i="42"/>
  <c r="AH16" i="42"/>
  <c r="AE16" i="42"/>
  <c r="AB16" i="42"/>
  <c r="Y16" i="42"/>
  <c r="V16" i="42"/>
  <c r="S16" i="42"/>
  <c r="P16" i="42"/>
  <c r="M16" i="42"/>
  <c r="I16" i="42"/>
  <c r="H16" i="42"/>
  <c r="E16" i="42" s="1"/>
  <c r="D16" i="42"/>
  <c r="AQ15" i="42"/>
  <c r="AN15" i="42"/>
  <c r="AK15" i="42"/>
  <c r="AH15" i="42"/>
  <c r="AE15" i="42"/>
  <c r="AB15" i="42"/>
  <c r="Y15" i="42"/>
  <c r="V15" i="42"/>
  <c r="S15" i="42"/>
  <c r="P15" i="42"/>
  <c r="M15" i="42"/>
  <c r="I15" i="42"/>
  <c r="H15" i="42"/>
  <c r="E15" i="42" s="1"/>
  <c r="D15" i="42"/>
  <c r="AQ14" i="42"/>
  <c r="AN14" i="42"/>
  <c r="AK14" i="42"/>
  <c r="AH14" i="42"/>
  <c r="AE14" i="42"/>
  <c r="AB14" i="42"/>
  <c r="Y14" i="42"/>
  <c r="V14" i="42"/>
  <c r="S14" i="42"/>
  <c r="P14" i="42"/>
  <c r="M14" i="42"/>
  <c r="I14" i="42"/>
  <c r="H14" i="42"/>
  <c r="E14" i="42" s="1"/>
  <c r="D14" i="42"/>
  <c r="I13" i="42"/>
  <c r="F13" i="42" s="1"/>
  <c r="H13" i="42"/>
  <c r="E13" i="42" s="1"/>
  <c r="D13" i="42"/>
  <c r="AQ12" i="42"/>
  <c r="AN12" i="42"/>
  <c r="AK12" i="42"/>
  <c r="AH12" i="42"/>
  <c r="AE12" i="42"/>
  <c r="AB12" i="42"/>
  <c r="Y12" i="42"/>
  <c r="V12" i="42"/>
  <c r="S12" i="42"/>
  <c r="P12" i="42"/>
  <c r="M12" i="42"/>
  <c r="I12" i="42"/>
  <c r="H12" i="42"/>
  <c r="E12" i="42" s="1"/>
  <c r="D12" i="42"/>
  <c r="AH11" i="42"/>
  <c r="Y11" i="42"/>
  <c r="V11" i="42"/>
  <c r="P11" i="42"/>
  <c r="M11" i="42"/>
  <c r="I11" i="42"/>
  <c r="F11" i="42" s="1"/>
  <c r="H11" i="42"/>
  <c r="E11" i="42" s="1"/>
  <c r="D11" i="42"/>
  <c r="AG9" i="42"/>
  <c r="AG7" i="42" s="1"/>
  <c r="I8" i="42"/>
  <c r="F8" i="42" s="1"/>
  <c r="H8" i="42"/>
  <c r="E8" i="42" s="1"/>
  <c r="D8" i="42"/>
  <c r="Q15" i="43" l="1"/>
  <c r="H19" i="43"/>
  <c r="E19" i="43" s="1"/>
  <c r="E16" i="43"/>
  <c r="G27" i="43"/>
  <c r="J30" i="43"/>
  <c r="B15" i="43"/>
  <c r="B14" i="43" s="1"/>
  <c r="B8" i="43" s="1"/>
  <c r="S19" i="43"/>
  <c r="Y19" i="43"/>
  <c r="AQ19" i="43"/>
  <c r="W15" i="43"/>
  <c r="W14" i="43" s="1"/>
  <c r="W8" i="43" s="1"/>
  <c r="W7" i="43" s="1"/>
  <c r="Z14" i="43"/>
  <c r="Z8" i="43" s="1"/>
  <c r="Z7" i="43" s="1"/>
  <c r="AO8" i="43"/>
  <c r="AO7" i="43" s="1"/>
  <c r="AF15" i="43"/>
  <c r="AF14" i="43" s="1"/>
  <c r="AF8" i="43" s="1"/>
  <c r="AF7" i="43" s="1"/>
  <c r="H18" i="43"/>
  <c r="E18" i="43" s="1"/>
  <c r="T14" i="43"/>
  <c r="T8" i="43" s="1"/>
  <c r="T7" i="43" s="1"/>
  <c r="G24" i="43"/>
  <c r="J25" i="43"/>
  <c r="J36" i="43"/>
  <c r="AE19" i="43"/>
  <c r="F30" i="43"/>
  <c r="N14" i="43"/>
  <c r="N8" i="43" s="1"/>
  <c r="N7" i="43" s="1"/>
  <c r="V18" i="43"/>
  <c r="AQ18" i="43"/>
  <c r="G37" i="43"/>
  <c r="H9" i="43"/>
  <c r="E9" i="43" s="1"/>
  <c r="G12" i="43"/>
  <c r="J13" i="43"/>
  <c r="AE18" i="43"/>
  <c r="AK18" i="43"/>
  <c r="V19" i="43"/>
  <c r="G32" i="43"/>
  <c r="G10" i="43"/>
  <c r="J32" i="43"/>
  <c r="H30" i="42"/>
  <c r="E30" i="42" s="1"/>
  <c r="G8" i="42"/>
  <c r="J21" i="42"/>
  <c r="G34" i="42"/>
  <c r="G48" i="42"/>
  <c r="P30" i="42"/>
  <c r="AB30" i="42"/>
  <c r="AN30" i="42"/>
  <c r="G36" i="42"/>
  <c r="D20" i="42"/>
  <c r="H20" i="42"/>
  <c r="E20" i="42" s="1"/>
  <c r="AN20" i="42"/>
  <c r="D30" i="42"/>
  <c r="M30" i="42"/>
  <c r="Y30" i="42"/>
  <c r="AK30" i="42"/>
  <c r="AC14" i="43"/>
  <c r="AC8" i="43" s="1"/>
  <c r="AC7" i="43" s="1"/>
  <c r="J17" i="43"/>
  <c r="Q14" i="43"/>
  <c r="Q8" i="43" s="1"/>
  <c r="Q7" i="43" s="1"/>
  <c r="J24" i="42"/>
  <c r="I20" i="42"/>
  <c r="F20" i="42" s="1"/>
  <c r="AM9" i="42"/>
  <c r="AM41" i="42" s="1"/>
  <c r="AM44" i="42" s="1"/>
  <c r="AN44" i="42" s="1"/>
  <c r="C9" i="42"/>
  <c r="C10" i="42" s="1"/>
  <c r="V25" i="42"/>
  <c r="AH25" i="42"/>
  <c r="AB25" i="42"/>
  <c r="AO7" i="42"/>
  <c r="H25" i="42"/>
  <c r="E25" i="42" s="1"/>
  <c r="P25" i="42"/>
  <c r="AN25" i="42"/>
  <c r="AP14" i="43"/>
  <c r="AQ14" i="43" s="1"/>
  <c r="AN19" i="43"/>
  <c r="AM14" i="43"/>
  <c r="AJ15" i="43"/>
  <c r="AK15" i="43" s="1"/>
  <c r="G22" i="43"/>
  <c r="X14" i="43"/>
  <c r="Y14" i="43" s="1"/>
  <c r="U15" i="43"/>
  <c r="V15" i="43" s="1"/>
  <c r="R15" i="43"/>
  <c r="S15" i="43" s="1"/>
  <c r="P19" i="43"/>
  <c r="J24" i="43"/>
  <c r="S25" i="42"/>
  <c r="Y25" i="42"/>
  <c r="AE25" i="42"/>
  <c r="AK25" i="42"/>
  <c r="AQ25" i="42"/>
  <c r="AA9" i="42"/>
  <c r="AA7" i="42" s="1"/>
  <c r="O9" i="42"/>
  <c r="O7" i="42" s="1"/>
  <c r="J29" i="42"/>
  <c r="J27" i="42"/>
  <c r="J12" i="42"/>
  <c r="J31" i="42"/>
  <c r="G13" i="42"/>
  <c r="J14" i="42"/>
  <c r="J15" i="42"/>
  <c r="J16" i="42"/>
  <c r="J17" i="42"/>
  <c r="J18" i="42"/>
  <c r="G35" i="42"/>
  <c r="AP41" i="42"/>
  <c r="AP39" i="42" s="1"/>
  <c r="J19" i="42"/>
  <c r="F18" i="42"/>
  <c r="G18" i="42" s="1"/>
  <c r="AJ9" i="42"/>
  <c r="AJ7" i="42" s="1"/>
  <c r="X9" i="42"/>
  <c r="X7" i="42" s="1"/>
  <c r="F21" i="42"/>
  <c r="G21" i="42" s="1"/>
  <c r="I25" i="42"/>
  <c r="F14" i="42"/>
  <c r="G14" i="42" s="1"/>
  <c r="F17" i="42"/>
  <c r="G17" i="42" s="1"/>
  <c r="L9" i="42"/>
  <c r="L41" i="42" s="1"/>
  <c r="F27" i="42"/>
  <c r="G27" i="42" s="1"/>
  <c r="F31" i="42"/>
  <c r="G31" i="42" s="1"/>
  <c r="F12" i="42"/>
  <c r="G12" i="42" s="1"/>
  <c r="J11" i="42"/>
  <c r="D25" i="42"/>
  <c r="J22" i="42"/>
  <c r="M25" i="42"/>
  <c r="G23" i="42"/>
  <c r="AL7" i="42"/>
  <c r="AP7" i="42"/>
  <c r="G22" i="42"/>
  <c r="G19" i="42"/>
  <c r="G11" i="42"/>
  <c r="Y9" i="43"/>
  <c r="AI14" i="43"/>
  <c r="AI8" i="43" s="1"/>
  <c r="AI7" i="43" s="1"/>
  <c r="AN15" i="43"/>
  <c r="AL14" i="43"/>
  <c r="AL8" i="43" s="1"/>
  <c r="AL7" i="43" s="1"/>
  <c r="G11" i="43"/>
  <c r="AE9" i="43"/>
  <c r="AK9" i="43"/>
  <c r="D16" i="43"/>
  <c r="D9" i="43"/>
  <c r="AJ19" i="43"/>
  <c r="AK20" i="43"/>
  <c r="D24" i="43"/>
  <c r="J29" i="43"/>
  <c r="F29" i="43"/>
  <c r="D28" i="43"/>
  <c r="F28" i="43"/>
  <c r="K15" i="43"/>
  <c r="AD15" i="43"/>
  <c r="AG15" i="43"/>
  <c r="M16" i="43"/>
  <c r="I16" i="43"/>
  <c r="J16" i="43" s="1"/>
  <c r="L15" i="43"/>
  <c r="C19" i="43"/>
  <c r="AB20" i="43"/>
  <c r="AA19" i="43"/>
  <c r="AB19" i="43" s="1"/>
  <c r="AH20" i="43"/>
  <c r="AG19" i="43"/>
  <c r="AH19" i="43" s="1"/>
  <c r="F25" i="43"/>
  <c r="G25" i="43" s="1"/>
  <c r="S28" i="43"/>
  <c r="AE28" i="43"/>
  <c r="AH33" i="43"/>
  <c r="I33" i="43"/>
  <c r="F13" i="43"/>
  <c r="G13" i="43" s="1"/>
  <c r="AQ15" i="43"/>
  <c r="AB16" i="43"/>
  <c r="M9" i="43"/>
  <c r="P16" i="43"/>
  <c r="F17" i="43"/>
  <c r="G17" i="43" s="1"/>
  <c r="AN18" i="43"/>
  <c r="M20" i="43"/>
  <c r="I20" i="43"/>
  <c r="J20" i="43" s="1"/>
  <c r="L19" i="43"/>
  <c r="I23" i="43"/>
  <c r="J23" i="43" s="1"/>
  <c r="J26" i="43"/>
  <c r="E26" i="43"/>
  <c r="G26" i="43" s="1"/>
  <c r="H28" i="43"/>
  <c r="E28" i="43" s="1"/>
  <c r="D34" i="43"/>
  <c r="J21" i="43"/>
  <c r="J31" i="43"/>
  <c r="I35" i="43"/>
  <c r="F36" i="43"/>
  <c r="G36" i="43" s="1"/>
  <c r="G38" i="43"/>
  <c r="F21" i="43"/>
  <c r="G21" i="43" s="1"/>
  <c r="J27" i="43"/>
  <c r="AH34" i="43"/>
  <c r="I34" i="43"/>
  <c r="J34" i="43" s="1"/>
  <c r="F31" i="43"/>
  <c r="B41" i="42"/>
  <c r="B44" i="42" s="1"/>
  <c r="B10" i="42"/>
  <c r="N41" i="42"/>
  <c r="N44" i="42" s="1"/>
  <c r="N7" i="42"/>
  <c r="N10" i="42"/>
  <c r="U41" i="42"/>
  <c r="U44" i="42" s="1"/>
  <c r="U10" i="42"/>
  <c r="V9" i="42"/>
  <c r="Z41" i="42"/>
  <c r="Z44" i="42" s="1"/>
  <c r="Z7" i="42"/>
  <c r="Z10" i="42"/>
  <c r="AG41" i="42"/>
  <c r="AG44" i="42" s="1"/>
  <c r="AH44" i="42" s="1"/>
  <c r="AG10" i="42"/>
  <c r="AH9" i="42"/>
  <c r="K41" i="42"/>
  <c r="K7" i="42"/>
  <c r="K10" i="42"/>
  <c r="R41" i="42"/>
  <c r="R44" i="42" s="1"/>
  <c r="R10" i="42"/>
  <c r="S9" i="42"/>
  <c r="W41" i="42"/>
  <c r="W44" i="42" s="1"/>
  <c r="W7" i="42"/>
  <c r="W10" i="42"/>
  <c r="AD41" i="42"/>
  <c r="AD44" i="42" s="1"/>
  <c r="AD10" i="42"/>
  <c r="AE9" i="42"/>
  <c r="H9" i="42"/>
  <c r="E9" i="42" s="1"/>
  <c r="T41" i="42"/>
  <c r="T44" i="42" s="1"/>
  <c r="T7" i="42"/>
  <c r="V7" i="42" s="1"/>
  <c r="T10" i="42"/>
  <c r="AF39" i="42"/>
  <c r="AF40" i="42" s="1"/>
  <c r="AF38" i="42"/>
  <c r="AF37" i="42" s="1"/>
  <c r="Q41" i="42"/>
  <c r="Q44" i="42" s="1"/>
  <c r="Q7" i="42"/>
  <c r="S7" i="42" s="1"/>
  <c r="Q10" i="42"/>
  <c r="AC41" i="42"/>
  <c r="AC44" i="42" s="1"/>
  <c r="AC7" i="42"/>
  <c r="AE7" i="42" s="1"/>
  <c r="AC10" i="42"/>
  <c r="AF10" i="42"/>
  <c r="AI10" i="42"/>
  <c r="AL10" i="42"/>
  <c r="AO10" i="42"/>
  <c r="G47" i="42"/>
  <c r="F15" i="42"/>
  <c r="F29" i="42"/>
  <c r="J32" i="42"/>
  <c r="F32" i="42"/>
  <c r="G32" i="42" s="1"/>
  <c r="G46" i="42"/>
  <c r="AF7" i="42"/>
  <c r="AH7" i="42" s="1"/>
  <c r="AI7" i="42"/>
  <c r="AQ9" i="42"/>
  <c r="AP10" i="42"/>
  <c r="F16" i="42"/>
  <c r="I30" i="42"/>
  <c r="V30" i="42"/>
  <c r="AH30" i="42"/>
  <c r="J45" i="42"/>
  <c r="AI39" i="42"/>
  <c r="AI40" i="42" s="1"/>
  <c r="AI38" i="42"/>
  <c r="AI37" i="42" s="1"/>
  <c r="AL39" i="42"/>
  <c r="AL40" i="42" s="1"/>
  <c r="AL38" i="42"/>
  <c r="AL37" i="42" s="1"/>
  <c r="AO39" i="42"/>
  <c r="AO40" i="42" s="1"/>
  <c r="AO38" i="42"/>
  <c r="AO37" i="42" s="1"/>
  <c r="F24" i="42"/>
  <c r="I26" i="42"/>
  <c r="S30" i="42"/>
  <c r="AE30" i="42"/>
  <c r="AQ30" i="42"/>
  <c r="G45" i="42"/>
  <c r="J47" i="42"/>
  <c r="Y15" i="43" l="1"/>
  <c r="J28" i="43"/>
  <c r="G28" i="43"/>
  <c r="AQ7" i="42"/>
  <c r="J30" i="42"/>
  <c r="J20" i="42"/>
  <c r="G20" i="42"/>
  <c r="AM38" i="42"/>
  <c r="AM37" i="42" s="1"/>
  <c r="AN37" i="42" s="1"/>
  <c r="AN9" i="42"/>
  <c r="AM39" i="42"/>
  <c r="AM40" i="42" s="1"/>
  <c r="AN40" i="42" s="1"/>
  <c r="AM10" i="42"/>
  <c r="AN10" i="42" s="1"/>
  <c r="AM7" i="42"/>
  <c r="AN7" i="42" s="1"/>
  <c r="AN14" i="43"/>
  <c r="C7" i="42"/>
  <c r="D7" i="42" s="1"/>
  <c r="C41" i="42"/>
  <c r="D41" i="42" s="1"/>
  <c r="X41" i="42"/>
  <c r="X44" i="42" s="1"/>
  <c r="Y44" i="42" s="1"/>
  <c r="U14" i="43"/>
  <c r="V14" i="43" s="1"/>
  <c r="AN41" i="42"/>
  <c r="AB7" i="42"/>
  <c r="P9" i="42"/>
  <c r="O10" i="42"/>
  <c r="P10" i="42" s="1"/>
  <c r="O41" i="42"/>
  <c r="O44" i="42" s="1"/>
  <c r="P44" i="42" s="1"/>
  <c r="D9" i="42"/>
  <c r="AK9" i="42"/>
  <c r="AK7" i="42"/>
  <c r="AJ10" i="42"/>
  <c r="AK10" i="42" s="1"/>
  <c r="V44" i="42"/>
  <c r="AJ41" i="42"/>
  <c r="AJ44" i="42" s="1"/>
  <c r="AK44" i="42" s="1"/>
  <c r="AQ41" i="42"/>
  <c r="J25" i="42"/>
  <c r="AB9" i="42"/>
  <c r="S44" i="42"/>
  <c r="AA10" i="42"/>
  <c r="AB10" i="42" s="1"/>
  <c r="K44" i="42"/>
  <c r="H44" i="42" s="1"/>
  <c r="E44" i="42" s="1"/>
  <c r="H41" i="42"/>
  <c r="AA41" i="42"/>
  <c r="AA44" i="42" s="1"/>
  <c r="AB44" i="42" s="1"/>
  <c r="AE44" i="42"/>
  <c r="AM8" i="43"/>
  <c r="AM7" i="43" s="1"/>
  <c r="X8" i="43"/>
  <c r="X7" i="43" s="1"/>
  <c r="F23" i="43"/>
  <c r="G23" i="43" s="1"/>
  <c r="R14" i="43"/>
  <c r="S14" i="43" s="1"/>
  <c r="F34" i="43"/>
  <c r="G34" i="43" s="1"/>
  <c r="F20" i="43"/>
  <c r="G20" i="43" s="1"/>
  <c r="AP38" i="42"/>
  <c r="AP37" i="42" s="1"/>
  <c r="AQ37" i="42" s="1"/>
  <c r="AP44" i="42"/>
  <c r="AQ44" i="42" s="1"/>
  <c r="Y9" i="42"/>
  <c r="X10" i="42"/>
  <c r="Y10" i="42" s="1"/>
  <c r="Y7" i="42"/>
  <c r="P7" i="42"/>
  <c r="I9" i="42"/>
  <c r="J9" i="42" s="1"/>
  <c r="F25" i="42"/>
  <c r="L10" i="42"/>
  <c r="M10" i="42" s="1"/>
  <c r="L7" i="42"/>
  <c r="M9" i="42"/>
  <c r="H15" i="43"/>
  <c r="E15" i="43" s="1"/>
  <c r="K14" i="43"/>
  <c r="D18" i="43"/>
  <c r="AE15" i="43"/>
  <c r="AD14" i="43"/>
  <c r="C15" i="43"/>
  <c r="AQ9" i="43"/>
  <c r="AP8" i="43"/>
  <c r="F16" i="43"/>
  <c r="G16" i="43" s="1"/>
  <c r="L14" i="43"/>
  <c r="M15" i="43"/>
  <c r="I19" i="43"/>
  <c r="J19" i="43" s="1"/>
  <c r="M19" i="43"/>
  <c r="F33" i="43"/>
  <c r="G33" i="43" s="1"/>
  <c r="J33" i="43"/>
  <c r="D19" i="43"/>
  <c r="I18" i="43"/>
  <c r="J18" i="43" s="1"/>
  <c r="M18" i="43"/>
  <c r="B7" i="43"/>
  <c r="I9" i="43"/>
  <c r="F9" i="43" s="1"/>
  <c r="V9" i="43"/>
  <c r="AH15" i="43"/>
  <c r="AG14" i="43"/>
  <c r="AH14" i="43" s="1"/>
  <c r="F35" i="43"/>
  <c r="J35" i="43"/>
  <c r="P18" i="43"/>
  <c r="O15" i="43"/>
  <c r="AH9" i="43"/>
  <c r="AB18" i="43"/>
  <c r="AA15" i="43"/>
  <c r="AJ14" i="43"/>
  <c r="AK19" i="43"/>
  <c r="AE10" i="42"/>
  <c r="S10" i="42"/>
  <c r="H10" i="42"/>
  <c r="E10" i="42" s="1"/>
  <c r="Z39" i="42"/>
  <c r="Z40" i="42" s="1"/>
  <c r="Z38" i="42"/>
  <c r="Z37" i="42" s="1"/>
  <c r="N39" i="42"/>
  <c r="N40" i="42" s="1"/>
  <c r="N38" i="42"/>
  <c r="N37" i="42" s="1"/>
  <c r="B39" i="42"/>
  <c r="B38" i="42"/>
  <c r="J26" i="42"/>
  <c r="F26" i="42"/>
  <c r="G26" i="42" s="1"/>
  <c r="F30" i="42"/>
  <c r="G30" i="42" s="1"/>
  <c r="AC39" i="42"/>
  <c r="AC40" i="42" s="1"/>
  <c r="AC38" i="42"/>
  <c r="AC37" i="42" s="1"/>
  <c r="Q39" i="42"/>
  <c r="Q40" i="42" s="1"/>
  <c r="Q38" i="42"/>
  <c r="Q37" i="42" s="1"/>
  <c r="T39" i="42"/>
  <c r="T40" i="42" s="1"/>
  <c r="T38" i="42"/>
  <c r="T37" i="42" s="1"/>
  <c r="D10" i="42"/>
  <c r="AE41" i="42"/>
  <c r="AD39" i="42"/>
  <c r="AD38" i="42"/>
  <c r="S41" i="42"/>
  <c r="R39" i="42"/>
  <c r="R38" i="42"/>
  <c r="H7" i="42"/>
  <c r="E7" i="42" s="1"/>
  <c r="AQ10" i="42"/>
  <c r="W39" i="42"/>
  <c r="W40" i="42" s="1"/>
  <c r="W38" i="42"/>
  <c r="W37" i="42" s="1"/>
  <c r="K39" i="42"/>
  <c r="K38" i="42"/>
  <c r="AH10" i="42"/>
  <c r="V10" i="42"/>
  <c r="AP40" i="42"/>
  <c r="AQ40" i="42" s="1"/>
  <c r="AQ39" i="42"/>
  <c r="AH41" i="42"/>
  <c r="AG39" i="42"/>
  <c r="AG38" i="42"/>
  <c r="V41" i="42"/>
  <c r="U39" i="42"/>
  <c r="U38" i="42"/>
  <c r="AN38" i="42" l="1"/>
  <c r="AN39" i="42"/>
  <c r="I7" i="42"/>
  <c r="F7" i="42" s="1"/>
  <c r="G7" i="42" s="1"/>
  <c r="X39" i="42"/>
  <c r="Y39" i="42" s="1"/>
  <c r="Y41" i="42"/>
  <c r="C44" i="42"/>
  <c r="D44" i="42" s="1"/>
  <c r="C39" i="42"/>
  <c r="C40" i="42" s="1"/>
  <c r="C38" i="42"/>
  <c r="C37" i="42" s="1"/>
  <c r="X38" i="42"/>
  <c r="X37" i="42" s="1"/>
  <c r="Y37" i="42" s="1"/>
  <c r="AN7" i="43"/>
  <c r="Y7" i="43"/>
  <c r="U8" i="43"/>
  <c r="V8" i="43" s="1"/>
  <c r="AJ39" i="42"/>
  <c r="AJ40" i="42" s="1"/>
  <c r="AK40" i="42" s="1"/>
  <c r="AK41" i="42"/>
  <c r="O38" i="42"/>
  <c r="O37" i="42" s="1"/>
  <c r="P37" i="42" s="1"/>
  <c r="P41" i="42"/>
  <c r="O39" i="42"/>
  <c r="O40" i="42" s="1"/>
  <c r="P40" i="42" s="1"/>
  <c r="AA39" i="42"/>
  <c r="AA40" i="42" s="1"/>
  <c r="AB40" i="42" s="1"/>
  <c r="AB41" i="42"/>
  <c r="AJ38" i="42"/>
  <c r="AJ37" i="42" s="1"/>
  <c r="AK37" i="42" s="1"/>
  <c r="AA38" i="42"/>
  <c r="AA37" i="42" s="1"/>
  <c r="AB37" i="42" s="1"/>
  <c r="AQ38" i="42"/>
  <c r="I15" i="43"/>
  <c r="J15" i="43" s="1"/>
  <c r="AN8" i="43"/>
  <c r="AG8" i="43"/>
  <c r="AH8" i="43" s="1"/>
  <c r="Y8" i="43"/>
  <c r="R8" i="43"/>
  <c r="S8" i="43" s="1"/>
  <c r="F19" i="43"/>
  <c r="G19" i="43" s="1"/>
  <c r="F9" i="42"/>
  <c r="G9" i="42" s="1"/>
  <c r="I41" i="42"/>
  <c r="F41" i="42" s="1"/>
  <c r="L44" i="42"/>
  <c r="M41" i="42"/>
  <c r="I10" i="42"/>
  <c r="J10" i="42" s="1"/>
  <c r="M7" i="42"/>
  <c r="L38" i="42"/>
  <c r="L39" i="42"/>
  <c r="L40" i="42" s="1"/>
  <c r="H14" i="43"/>
  <c r="E14" i="43" s="1"/>
  <c r="K8" i="43"/>
  <c r="AK14" i="43"/>
  <c r="AJ8" i="43"/>
  <c r="AB15" i="43"/>
  <c r="AA14" i="43"/>
  <c r="O14" i="43"/>
  <c r="P15" i="43"/>
  <c r="AE14" i="43"/>
  <c r="AD8" i="43"/>
  <c r="J9" i="43"/>
  <c r="G9" i="43"/>
  <c r="AQ8" i="43"/>
  <c r="AP7" i="43"/>
  <c r="F18" i="43"/>
  <c r="G18" i="43" s="1"/>
  <c r="D15" i="43"/>
  <c r="C14" i="43"/>
  <c r="M14" i="43"/>
  <c r="L8" i="43"/>
  <c r="U37" i="42"/>
  <c r="V37" i="42" s="1"/>
  <c r="V38" i="42"/>
  <c r="AG40" i="42"/>
  <c r="AH40" i="42" s="1"/>
  <c r="AH39" i="42"/>
  <c r="B37" i="42"/>
  <c r="U40" i="42"/>
  <c r="V40" i="42" s="1"/>
  <c r="V39" i="42"/>
  <c r="H38" i="42"/>
  <c r="E38" i="42" s="1"/>
  <c r="K37" i="42"/>
  <c r="H37" i="42" s="1"/>
  <c r="AD37" i="42"/>
  <c r="AE37" i="42" s="1"/>
  <c r="AE38" i="42"/>
  <c r="H39" i="42"/>
  <c r="E39" i="42" s="1"/>
  <c r="K40" i="42"/>
  <c r="H40" i="42" s="1"/>
  <c r="R37" i="42"/>
  <c r="S37" i="42" s="1"/>
  <c r="S38" i="42"/>
  <c r="AD40" i="42"/>
  <c r="AE40" i="42" s="1"/>
  <c r="AE39" i="42"/>
  <c r="B40" i="42"/>
  <c r="Y38" i="42"/>
  <c r="AG37" i="42"/>
  <c r="AH37" i="42" s="1"/>
  <c r="AH38" i="42"/>
  <c r="R40" i="42"/>
  <c r="S40" i="42" s="1"/>
  <c r="S39" i="42"/>
  <c r="U7" i="43" l="1"/>
  <c r="V7" i="43" s="1"/>
  <c r="J7" i="42"/>
  <c r="X40" i="42"/>
  <c r="Y40" i="42" s="1"/>
  <c r="D39" i="42"/>
  <c r="D38" i="42"/>
  <c r="AQ7" i="43"/>
  <c r="AK39" i="42"/>
  <c r="AK38" i="42"/>
  <c r="P38" i="42"/>
  <c r="I38" i="42"/>
  <c r="J38" i="42" s="1"/>
  <c r="P39" i="42"/>
  <c r="AB39" i="42"/>
  <c r="AB38" i="42"/>
  <c r="F15" i="43"/>
  <c r="G15" i="43" s="1"/>
  <c r="AG7" i="43"/>
  <c r="R7" i="43"/>
  <c r="M44" i="42"/>
  <c r="I44" i="42"/>
  <c r="F10" i="42"/>
  <c r="G10" i="42" s="1"/>
  <c r="L37" i="42"/>
  <c r="I37" i="42" s="1"/>
  <c r="F37" i="42" s="1"/>
  <c r="I39" i="42"/>
  <c r="F39" i="42" s="1"/>
  <c r="G39" i="42" s="1"/>
  <c r="M38" i="42"/>
  <c r="M39" i="42"/>
  <c r="C8" i="43"/>
  <c r="D14" i="43"/>
  <c r="AA8" i="43"/>
  <c r="AB14" i="43"/>
  <c r="K7" i="43"/>
  <c r="H7" i="43" s="1"/>
  <c r="E7" i="43" s="1"/>
  <c r="H8" i="43"/>
  <c r="E8" i="43" s="1"/>
  <c r="AE8" i="43"/>
  <c r="AD7" i="43"/>
  <c r="O8" i="43"/>
  <c r="P14" i="43"/>
  <c r="I14" i="43"/>
  <c r="J14" i="43" s="1"/>
  <c r="M8" i="43"/>
  <c r="L7" i="43"/>
  <c r="AJ7" i="43"/>
  <c r="AK8" i="43"/>
  <c r="M40" i="42"/>
  <c r="I40" i="42"/>
  <c r="E40" i="42"/>
  <c r="D40" i="42"/>
  <c r="E37" i="42"/>
  <c r="D37" i="42"/>
  <c r="AK7" i="43" l="1"/>
  <c r="AH7" i="43"/>
  <c r="AE7" i="43"/>
  <c r="S7" i="43"/>
  <c r="F38" i="42"/>
  <c r="G38" i="42" s="1"/>
  <c r="I8" i="43"/>
  <c r="F8" i="43" s="1"/>
  <c r="G8" i="43" s="1"/>
  <c r="F44" i="42"/>
  <c r="G44" i="42" s="1"/>
  <c r="J44" i="42"/>
  <c r="J39" i="42"/>
  <c r="M37" i="42"/>
  <c r="P8" i="43"/>
  <c r="O7" i="43"/>
  <c r="F14" i="43"/>
  <c r="G14" i="43" s="1"/>
  <c r="M7" i="43"/>
  <c r="AB8" i="43"/>
  <c r="AA7" i="43"/>
  <c r="D8" i="43"/>
  <c r="C7" i="43"/>
  <c r="J37" i="42"/>
  <c r="G37" i="42"/>
  <c r="J40" i="42"/>
  <c r="F40" i="42"/>
  <c r="G40" i="42" s="1"/>
  <c r="AB7" i="43" l="1"/>
  <c r="P7" i="43"/>
  <c r="J8" i="43"/>
  <c r="I7" i="43"/>
  <c r="J7" i="43" s="1"/>
  <c r="D7" i="43"/>
  <c r="F7" i="43" l="1"/>
  <c r="G7" i="43" l="1"/>
  <c r="I15" i="39" l="1"/>
  <c r="G58" i="39" l="1"/>
  <c r="G53" i="39"/>
  <c r="G56" i="39" l="1"/>
  <c r="F49" i="41"/>
  <c r="F8" i="41" l="1"/>
  <c r="G52" i="39"/>
  <c r="C49" i="41" l="1"/>
  <c r="C27" i="41"/>
  <c r="C15" i="41" s="1"/>
  <c r="C10" i="41"/>
  <c r="C9" i="41" l="1"/>
  <c r="C8" i="41" s="1"/>
  <c r="C80" i="41"/>
  <c r="C81" i="41"/>
  <c r="G27" i="39"/>
  <c r="G21" i="39"/>
  <c r="G10" i="39" l="1"/>
  <c r="G37" i="39" l="1"/>
  <c r="G41" i="39" s="1"/>
  <c r="G8" i="39"/>
  <c r="G11" i="39"/>
  <c r="G35" i="39" l="1"/>
  <c r="G39" i="39"/>
  <c r="G38" i="39"/>
  <c r="G36" i="39" l="1"/>
  <c r="G34" i="39"/>
  <c r="H64" i="41" l="1"/>
  <c r="G64" i="41"/>
  <c r="D11" i="41" l="1"/>
  <c r="D12" i="41"/>
  <c r="D13" i="41"/>
  <c r="D14" i="41"/>
  <c r="D28" i="41"/>
  <c r="D29" i="41"/>
  <c r="D30" i="41"/>
  <c r="D31" i="41"/>
  <c r="D32" i="41"/>
  <c r="D33" i="41"/>
  <c r="D34" i="41"/>
  <c r="D35" i="41"/>
  <c r="D36" i="41"/>
  <c r="D38" i="41"/>
  <c r="D39" i="41"/>
  <c r="D40" i="41"/>
  <c r="D41" i="41"/>
  <c r="D42" i="41"/>
  <c r="D43" i="41"/>
  <c r="D46" i="41"/>
  <c r="D47" i="41"/>
  <c r="D50" i="41"/>
  <c r="D51" i="41"/>
  <c r="D52" i="41"/>
  <c r="D53" i="41"/>
  <c r="D55" i="41"/>
  <c r="D56" i="41"/>
  <c r="D57" i="41"/>
  <c r="D58" i="41"/>
  <c r="D59" i="41"/>
  <c r="D60" i="41"/>
  <c r="D61" i="41"/>
  <c r="D62" i="41"/>
  <c r="D63" i="41"/>
  <c r="D64" i="41"/>
  <c r="D65" i="41"/>
  <c r="D66" i="41"/>
  <c r="D37" i="41"/>
  <c r="E9" i="39"/>
  <c r="E12" i="39"/>
  <c r="E13" i="39"/>
  <c r="E14" i="39"/>
  <c r="E15" i="39"/>
  <c r="E16" i="39"/>
  <c r="E17" i="39"/>
  <c r="E18" i="39"/>
  <c r="E19" i="39"/>
  <c r="E20" i="39"/>
  <c r="E22" i="39"/>
  <c r="E23" i="39"/>
  <c r="E24" i="39"/>
  <c r="E25" i="39"/>
  <c r="E26" i="39"/>
  <c r="E28" i="39"/>
  <c r="E29" i="39"/>
  <c r="E31" i="39"/>
  <c r="E32" i="39"/>
  <c r="E33" i="39"/>
  <c r="E43" i="39"/>
  <c r="E51" i="39"/>
  <c r="E53" i="39"/>
  <c r="E54" i="39"/>
  <c r="E55" i="39"/>
  <c r="E56" i="39"/>
  <c r="E58" i="39"/>
  <c r="E59" i="39"/>
  <c r="E62" i="39"/>
  <c r="E63" i="39"/>
  <c r="E64" i="39"/>
  <c r="E65" i="39"/>
  <c r="E66" i="39"/>
  <c r="D27" i="39"/>
  <c r="I27" i="39" s="1"/>
  <c r="I21" i="39" l="1"/>
  <c r="D40" i="39"/>
  <c r="I40" i="39" s="1"/>
  <c r="D10" i="39"/>
  <c r="D37" i="39" s="1"/>
  <c r="D8" i="39" l="1"/>
  <c r="I8" i="39" s="1"/>
  <c r="I10" i="39"/>
  <c r="D11" i="39"/>
  <c r="D39" i="39" l="1"/>
  <c r="D38" i="39"/>
  <c r="I37" i="39"/>
  <c r="D35" i="39"/>
  <c r="I11" i="39"/>
  <c r="D41" i="39"/>
  <c r="I41" i="39" s="1"/>
  <c r="I35" i="39" l="1"/>
  <c r="D34" i="39"/>
  <c r="I34" i="39" s="1"/>
  <c r="I38" i="39"/>
  <c r="E39" i="39"/>
  <c r="I39" i="39"/>
  <c r="D36" i="39"/>
  <c r="I36" i="39" s="1"/>
  <c r="D26" i="41" l="1"/>
  <c r="E67" i="39"/>
  <c r="E52" i="39" l="1"/>
  <c r="B49" i="41" l="1"/>
  <c r="D49" i="41" s="1"/>
  <c r="B27" i="41"/>
  <c r="B10" i="41"/>
  <c r="G10" i="41" l="1"/>
  <c r="H10" i="41"/>
  <c r="B15" i="41"/>
  <c r="B9" i="41" s="1"/>
  <c r="G27" i="41"/>
  <c r="H27" i="41"/>
  <c r="H49" i="41"/>
  <c r="G49" i="41"/>
  <c r="D27" i="41"/>
  <c r="B80" i="41"/>
  <c r="D80" i="41" s="1"/>
  <c r="D16" i="41"/>
  <c r="D10" i="41"/>
  <c r="G15" i="41" l="1"/>
  <c r="H15" i="41"/>
  <c r="B81" i="41"/>
  <c r="D81" i="41" s="1"/>
  <c r="D15" i="41"/>
  <c r="G9" i="41" l="1"/>
  <c r="H9" i="41"/>
  <c r="D9" i="41"/>
  <c r="B8" i="41"/>
  <c r="G8" i="41" s="1"/>
  <c r="H8" i="41" l="1"/>
  <c r="D8" i="41"/>
  <c r="C21" i="39" l="1"/>
  <c r="C27" i="39"/>
  <c r="E27" i="39" l="1"/>
  <c r="E21" i="39"/>
  <c r="C10" i="39"/>
  <c r="E10" i="39" l="1"/>
  <c r="C37" i="39"/>
  <c r="C11" i="39"/>
  <c r="C38" i="39" l="1"/>
  <c r="C35" i="39"/>
  <c r="E37" i="39"/>
  <c r="C40" i="39"/>
  <c r="C41" i="39"/>
  <c r="E11" i="39"/>
  <c r="B27" i="39"/>
  <c r="B10" i="39" s="1"/>
  <c r="B37" i="39" s="1"/>
  <c r="B21" i="39"/>
  <c r="B38" i="39" l="1"/>
  <c r="B40" i="39"/>
  <c r="C34" i="39"/>
  <c r="C36" i="39"/>
  <c r="E38" i="39"/>
  <c r="E35" i="39"/>
  <c r="E41" i="39"/>
  <c r="E40" i="39"/>
  <c r="B11" i="39"/>
  <c r="E36" i="39" l="1"/>
  <c r="E34" i="39"/>
  <c r="B8" i="39"/>
  <c r="C8" i="39" l="1"/>
  <c r="E8" i="39" l="1"/>
  <c r="J41" i="42"/>
  <c r="E41" i="42"/>
  <c r="G41" i="42" s="1"/>
  <c r="B41" i="39"/>
  <c r="B35" i="39"/>
  <c r="B36" i="39" s="1"/>
  <c r="B34" i="39" l="1"/>
</calcChain>
</file>

<file path=xl/comments1.xml><?xml version="1.0" encoding="utf-8"?>
<comments xmlns="http://schemas.openxmlformats.org/spreadsheetml/2006/main">
  <authors>
    <author>Author</author>
  </authors>
  <commentList>
    <comment ref="H35" authorId="0" shapeId="0">
      <text>
        <r>
          <rPr>
            <b/>
            <sz val="9"/>
            <color indexed="81"/>
            <rFont val="Tahoma"/>
            <family val="2"/>
          </rPr>
          <t xml:space="preserve">Trừ 10% tiết kiệm chi TX 194,748trđ; 50% tăng thu dự toán 2024: 192,15trđ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<sst xmlns="http://schemas.openxmlformats.org/spreadsheetml/2006/main" count="373" uniqueCount="187">
  <si>
    <t>ĐVT: triệu đồng</t>
  </si>
  <si>
    <t>NỘI DUNG</t>
  </si>
  <si>
    <t>TW</t>
  </si>
  <si>
    <t>ĐP</t>
  </si>
  <si>
    <t xml:space="preserve">  5. Lệ phí trước bạ</t>
  </si>
  <si>
    <t xml:space="preserve">  6.Thuế SD đất phi nông nghiệp</t>
  </si>
  <si>
    <t xml:space="preserve">  7.Thuế thu nhập cá nhân</t>
  </si>
  <si>
    <t xml:space="preserve">     - NSTW hưởng 100%</t>
  </si>
  <si>
    <t xml:space="preserve">     - Phân chia NSTW và NSĐP</t>
  </si>
  <si>
    <t xml:space="preserve">  9.Thu phí và lệ phí</t>
  </si>
  <si>
    <t xml:space="preserve">     Trong đó: Phí và lệ phí trung ương</t>
  </si>
  <si>
    <t>10.Thu tiền sử dụng đất</t>
  </si>
  <si>
    <t>11.Thu tiền cho thuê mặt đất mặt nước</t>
  </si>
  <si>
    <t xml:space="preserve">      + TW hưởng</t>
  </si>
  <si>
    <t xml:space="preserve">      + ĐP hưởng</t>
  </si>
  <si>
    <t xml:space="preserve">    1. Thu cân đối ngân sách từ KTĐB</t>
  </si>
  <si>
    <t>Đơn vị : triệu đồng</t>
  </si>
  <si>
    <t xml:space="preserve"> I/- CHI ĐẦU TƯ PHÁT TRIỂN</t>
  </si>
  <si>
    <t>II/- CHI THƯỜNG XUYÊN</t>
  </si>
  <si>
    <t xml:space="preserve">     - Chi SN nông, lâm, thủy lợi</t>
  </si>
  <si>
    <t xml:space="preserve">     - Chi SN giao thông</t>
  </si>
  <si>
    <t xml:space="preserve">   a- Chi SN giáo dục và đào tạo </t>
  </si>
  <si>
    <t xml:space="preserve">   b- Chi SN y tế </t>
  </si>
  <si>
    <t xml:space="preserve">   f- Chi SN thể dục - thể thao</t>
  </si>
  <si>
    <t xml:space="preserve">   g- Chi đảm bảo xã hội </t>
  </si>
  <si>
    <t xml:space="preserve">   h- Chi sự nghiệp văn xã khác </t>
  </si>
  <si>
    <t>I.THU TỪ HOẠT ĐỘNG XUẤT NHẬP KHẨU</t>
  </si>
  <si>
    <t>II. THU NỘI ĐỊA</t>
  </si>
  <si>
    <t xml:space="preserve">  Không kể tiền sử dụng đất, xổ số kiến thiết</t>
  </si>
  <si>
    <t xml:space="preserve">  1) Chi sự nghiệp kinh tế </t>
  </si>
  <si>
    <t xml:space="preserve">   2) Chi sự nghiệp văn xã</t>
  </si>
  <si>
    <t xml:space="preserve">   3) Chi quản lý hành chính</t>
  </si>
  <si>
    <t xml:space="preserve">   4) Chi an ninh, quốc phòng địa phương </t>
  </si>
  <si>
    <t xml:space="preserve">   5) Chi sự nghiệp hoạt động môi trường </t>
  </si>
  <si>
    <t>V/- DỰ PHÒNG</t>
  </si>
  <si>
    <t>DTĐP
 NĂM</t>
  </si>
  <si>
    <t>CÙNG
KỲ</t>
  </si>
  <si>
    <t>CÙNG 
KỲ</t>
  </si>
  <si>
    <t xml:space="preserve">     - Chi SN kinh tế khác </t>
  </si>
  <si>
    <t>THU NGÂN SÁCH ĐỊA PHƯƠNG</t>
  </si>
  <si>
    <t xml:space="preserve">      - Thu ngân sách địa phương hưởng 100%</t>
  </si>
  <si>
    <t xml:space="preserve">      - Thu phân chia giữa các cấp ngân sách</t>
  </si>
  <si>
    <t xml:space="preserve">    2. Thu bổ sung cân đối từ ngân sách cấp trên</t>
  </si>
  <si>
    <t>II. Thu bổ sung có mục tiêu từ ngân sách cấp trên</t>
  </si>
  <si>
    <t xml:space="preserve">      - Vốn ngoài nước</t>
  </si>
  <si>
    <t xml:space="preserve">      - Vốn trong nước</t>
  </si>
  <si>
    <t>A. CHI CÂN ĐỐI NGÂN SÁCH ĐỊA PHƯƠNG</t>
  </si>
  <si>
    <t xml:space="preserve">   a) Vốn đầu tư tập trung được phân bổ</t>
  </si>
  <si>
    <t xml:space="preserve">   b) Nguồn thu tiền sử dụng đất</t>
  </si>
  <si>
    <t xml:space="preserve">   c) Nguồn Xổ số kiến thiết</t>
  </si>
  <si>
    <t xml:space="preserve">   d) Nguồn bội chi (vốn vay)</t>
  </si>
  <si>
    <t xml:space="preserve">   c- Chi SN khoa học và công nghệ</t>
  </si>
  <si>
    <t xml:space="preserve">   d- Chi SN văn hóa</t>
  </si>
  <si>
    <t xml:space="preserve">   e- Chi SN phát thanh - truyền hình - TTTT</t>
  </si>
  <si>
    <t xml:space="preserve">     - Chi quản lý Nhà nước</t>
  </si>
  <si>
    <t xml:space="preserve">     - Chi khối  Đảng</t>
  </si>
  <si>
    <t xml:space="preserve">     - Chi hổ trợ hội, đoàn thể</t>
  </si>
  <si>
    <t xml:space="preserve">     - Chi QLHC khác</t>
  </si>
  <si>
    <t xml:space="preserve">   6) Chi khác ngân sách</t>
  </si>
  <si>
    <t>B. CHI NSĐP TỪ NGUỒN BSMT</t>
  </si>
  <si>
    <t>I/ Chi đầu tư phát triển</t>
  </si>
  <si>
    <t xml:space="preserve"> - Vốn ngoài nước</t>
  </si>
  <si>
    <t xml:space="preserve"> - Vốn trong nước</t>
  </si>
  <si>
    <t>II/ Chi thường xuyên</t>
  </si>
  <si>
    <t xml:space="preserve"> 1. Vốn ngoài nước</t>
  </si>
  <si>
    <t xml:space="preserve"> 2. Vốn trong nước</t>
  </si>
  <si>
    <t>DỰ TOÁN 2023</t>
  </si>
  <si>
    <t xml:space="preserve">       + KP hỗ trợ VHNT</t>
  </si>
  <si>
    <t xml:space="preserve">       + KP hỗ trợ Hội Nhà báo ĐP</t>
  </si>
  <si>
    <t xml:space="preserve">       + KP Hỗ trợ DN nhỏ và vừa</t>
  </si>
  <si>
    <t xml:space="preserve">       + KP CT trợ giúp XH PHCN người tâm thần TE</t>
  </si>
  <si>
    <t>III. Chương trình MTQG</t>
  </si>
  <si>
    <t xml:space="preserve">%UTH so </t>
  </si>
  <si>
    <t>% UTH so</t>
  </si>
  <si>
    <t>5=4/3</t>
  </si>
  <si>
    <t>Ước thực hiện năm 2023</t>
  </si>
  <si>
    <t>Dự toán 2024</t>
  </si>
  <si>
    <t>DỰ TOÁN THU NGÂN SÁCH NHÀ NƯỚC NĂM 2024</t>
  </si>
  <si>
    <t>DỰ TOÁN CHI NGÂN SÁCH ĐỊA PHƯƠNG NĂM 2024</t>
  </si>
  <si>
    <t>TỔNG CHI NSĐP (A+B)</t>
  </si>
  <si>
    <t>IV/- CHI BỔ SUNG QUỸ DỰ TRỮ TÀI CHÍNH</t>
  </si>
  <si>
    <t>Thu cân đối ngân sách từ KTĐB không kể đất, XSKT</t>
  </si>
  <si>
    <t>Số thu cân đối NSĐP không bao gồm đất, XSKT, bội chi</t>
  </si>
  <si>
    <t>TỔNG</t>
  </si>
  <si>
    <t>TỈNH</t>
  </si>
  <si>
    <t>HUYỆN</t>
  </si>
  <si>
    <t>LONG XUYÊN</t>
  </si>
  <si>
    <t>CHÂU ĐỐC</t>
  </si>
  <si>
    <t>TÂN CHÂU</t>
  </si>
  <si>
    <t>CHỢ MỚI</t>
  </si>
  <si>
    <t>PHÚ TÂN</t>
  </si>
  <si>
    <t>CHÂU PHÚ</t>
  </si>
  <si>
    <t>CHÂU THÀNH</t>
  </si>
  <si>
    <t>THOẠI SƠN</t>
  </si>
  <si>
    <t>TRI TÔN</t>
  </si>
  <si>
    <t>TỊNH BIÊN</t>
  </si>
  <si>
    <t>AN PHÚ</t>
  </si>
  <si>
    <t>DT</t>
  </si>
  <si>
    <t>%</t>
  </si>
  <si>
    <t xml:space="preserve">     - Phí và lệ phí tỉnh</t>
  </si>
  <si>
    <t xml:space="preserve">     - Phí và lệ phí huyện</t>
  </si>
  <si>
    <t xml:space="preserve">     - Phí và lệ phí xã (đò, chợ, khác)</t>
  </si>
  <si>
    <t xml:space="preserve">    Trong đó: NS tỉnh hưởng</t>
  </si>
  <si>
    <t xml:space="preserve">  Thu cân đối ngân sách (không bao gồm bội chi)</t>
  </si>
  <si>
    <t>Số thu cân đối NSĐP không bao gồm đất, XSKT</t>
  </si>
  <si>
    <t>TỔNG CHI NSĐP (A+B+C)</t>
  </si>
  <si>
    <t xml:space="preserve">   6) Chi ngân sách xã</t>
  </si>
  <si>
    <t xml:space="preserve">   7) Chi khác ngân sách</t>
  </si>
  <si>
    <t>III/- CHI BỔ SUNG QUỸ DỰ TRỮ TÀI CHÍNH</t>
  </si>
  <si>
    <t>ƯỚC THU NGÂN SÁCH NHÀ NƯỚC NĂM 2023</t>
  </si>
  <si>
    <t>Ước thực hiện 2023</t>
  </si>
  <si>
    <t>ƯỚC CHI NGÂN SÁCH ĐỊA PHƯƠNG NĂM 2023</t>
  </si>
  <si>
    <t xml:space="preserve">     - Chi SN nông nghiệp</t>
  </si>
  <si>
    <t xml:space="preserve">     - Chi SN lâm nghiệp</t>
  </si>
  <si>
    <t xml:space="preserve">     - Chi SN thủy lợi</t>
  </si>
  <si>
    <t xml:space="preserve">     - Chi SN địa chính</t>
  </si>
  <si>
    <t xml:space="preserve">     - Kiến thiết thị chính, Chỉnh trang đô thị</t>
  </si>
  <si>
    <t xml:space="preserve">     - Chi HĐ bào vệ đất lúa theo NĐ 62 </t>
  </si>
  <si>
    <t xml:space="preserve">     - Chi SN Công nghệ TT</t>
  </si>
  <si>
    <t>ƯỚC THỰC HIỆN THU NGÂN SÁCH NHÀ NƯỚC NĂM 2023</t>
  </si>
  <si>
    <t>I. Thu cân đối ngân sách địa phương (gồm TL, thu vay)</t>
  </si>
  <si>
    <t xml:space="preserve">    1. Thu NSĐP được hưởng theo phân cấp</t>
  </si>
  <si>
    <t>Trong đó: Không kể tiền SDĐ, XSKT</t>
  </si>
  <si>
    <t xml:space="preserve">    - Thu ngân sách ĐP hưởng 100%</t>
  </si>
  <si>
    <t xml:space="preserve">    - Thu phân chia giữa các cấp ngân sách</t>
  </si>
  <si>
    <t xml:space="preserve">    2. Thu bổ sung  cân đối từ ngân sách cấp trên</t>
  </si>
  <si>
    <t xml:space="preserve">    - Thu BSCĐ ổn định như 2023</t>
  </si>
  <si>
    <t xml:space="preserve">    - Số BS tăng thêm năm 2024</t>
  </si>
  <si>
    <t xml:space="preserve">  - Nguồn thực hiện CCTL từ NSĐP</t>
  </si>
  <si>
    <t xml:space="preserve">  - Nguồn thực hiện CCTL từ NSTW</t>
  </si>
  <si>
    <t xml:space="preserve">    4. Thu vay (Bội chi NSĐP)</t>
  </si>
  <si>
    <t>II. Thu bổ sung có mục tiêu từ ngân sách TW</t>
  </si>
  <si>
    <t xml:space="preserve"> 1. Vốn đầu tư</t>
  </si>
  <si>
    <t xml:space="preserve"> 2. Vốn sự nghiệp</t>
  </si>
  <si>
    <t xml:space="preserve">      + Đảm bảo TTATGT</t>
  </si>
  <si>
    <t xml:space="preserve">      + KP phân giới cấm mốc tuyến VN-CPC</t>
  </si>
  <si>
    <t xml:space="preserve">      + KP CT phát triển lâm nghiệp bền vững</t>
  </si>
  <si>
    <t xml:space="preserve">      + Phí sử dụng đường bộ</t>
  </si>
  <si>
    <t xml:space="preserve"> 3. KP thực hiện 3 Chương trình MTQG</t>
  </si>
  <si>
    <t>9=8/4</t>
  </si>
  <si>
    <t>% Dự toán 2024 so UTH 2023</t>
  </si>
  <si>
    <t>Trong đó: thu tiền bảo vệ phát triển đất trồng lúa</t>
  </si>
  <si>
    <t>ƯỚC THỰC HIỆN CHI NGÂN SÁCH ĐỊA PHƯƠNG 2023</t>
  </si>
  <si>
    <t>DT 2024/ DT địa phương 2023</t>
  </si>
  <si>
    <t>Tỷ lệ (%)</t>
  </si>
  <si>
    <t>Tuyệt đối</t>
  </si>
  <si>
    <t>Dự toán HĐND tỉnh giao năm 2023</t>
  </si>
  <si>
    <t>4=3/2</t>
  </si>
  <si>
    <t>7=6/2</t>
  </si>
  <si>
    <t xml:space="preserve">    7) Chi Đối ứng 03 CTMT QG</t>
  </si>
  <si>
    <t>Tong</t>
  </si>
  <si>
    <t>LX</t>
  </si>
  <si>
    <t>CĐ</t>
  </si>
  <si>
    <t>CP</t>
  </si>
  <si>
    <t>CT</t>
  </si>
  <si>
    <t>TS</t>
  </si>
  <si>
    <t>TT</t>
  </si>
  <si>
    <t>TB</t>
  </si>
  <si>
    <t>AP</t>
  </si>
  <si>
    <t>Cấp xã</t>
  </si>
  <si>
    <t>8=6-2</t>
  </si>
  <si>
    <t xml:space="preserve">  1.Thu từ KV DN do NN giữ vai trò chủ đạo TW quản lý</t>
  </si>
  <si>
    <t xml:space="preserve">  2.Thu từ KV DN do NN giữ vai trò chủ đạo ĐP quản lý</t>
  </si>
  <si>
    <t>TỔNG THU NSNN TRÊN ĐỊA BÀN (I+II)</t>
  </si>
  <si>
    <t xml:space="preserve">  3.Thu từ KV doanh nghiệp có vốn ĐTNN</t>
  </si>
  <si>
    <t xml:space="preserve">  4.Thu từ KV kinh tế ngoài quốc doanh</t>
  </si>
  <si>
    <t xml:space="preserve">  8.Thuế Bảo vệ môi trường thu từ hàng hóa trong nước</t>
  </si>
  <si>
    <t>12. Thu Quỹ đất công ích và hoa lợi công sản khác</t>
  </si>
  <si>
    <t>13.Thu khác ngân sách</t>
  </si>
  <si>
    <t>14. Thu cấp quyền khai thác khoáng sản, tài nguyên</t>
  </si>
  <si>
    <t>15.Thu hồi vốn, thu cổ tức, lợi nhuận sau thuế</t>
  </si>
  <si>
    <t>16. Thu từ hoạt động xổ số kiến thiết</t>
  </si>
  <si>
    <t>III/- CHI TRẢ NỢ LÃI CÁC KHOẢN DO CHÍNH
 QUYỀN ĐỊA PHƯƠNG VAY</t>
  </si>
  <si>
    <t>I. Thu cân đối NSĐP (gồm TL, thu vay)</t>
  </si>
  <si>
    <t xml:space="preserve">    3. Thu vay (Bội chi NSĐP)</t>
  </si>
  <si>
    <t>Trong đó: nguồn CCTL: 10% tiết kiệm chi TX 194.748 trđ; 
50% tăng thu DT 2024 so 2023 192.150 trđ</t>
  </si>
  <si>
    <t xml:space="preserve">    3. Nguồn thực hiện CCTL </t>
  </si>
  <si>
    <t xml:space="preserve">   + Nguồn dư năm 2023 mang sang</t>
  </si>
  <si>
    <t xml:space="preserve">   + Nguồn thu được để lại của đơn vị</t>
  </si>
  <si>
    <t xml:space="preserve"> - Vốn đầu tư</t>
  </si>
  <si>
    <t xml:space="preserve">    + CT Giảm nghèo bền vững</t>
  </si>
  <si>
    <t xml:space="preserve">    + CT PT KTXH vùng đồn bào DTTS&amp;MN</t>
  </si>
  <si>
    <t xml:space="preserve">    + CT xây dựng nông thôn mới</t>
  </si>
  <si>
    <t xml:space="preserve"> - Vốn thường xuyên</t>
  </si>
  <si>
    <t xml:space="preserve">    + CT PT KTXH vùng đồng bào DTTS&amp;MN</t>
  </si>
  <si>
    <t>VI/- CHI TẠO NGUỒN,  ĐIỀU CHỈNH TIỀN LƯƠNG</t>
  </si>
  <si>
    <t>III/ KP thực hiện 3 Chương trình MTQG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</si>
</sst>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7" formatCode="0.0000"/>
    <numFmt numFmtId="168" formatCode="_(* #,##0.00000_);_(* \(#,##0.000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NI-Times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225">
    <xf numFmtId="0" fontId="0" fillId="0" borderId="0" xfId="0"/>
    <xf numFmtId="164" fontId="5" fillId="0" borderId="6" xfId="2" applyNumberFormat="1" applyFont="1" applyFill="1" applyBorder="1"/>
    <xf numFmtId="164" fontId="5" fillId="0" borderId="6" xfId="5" applyNumberFormat="1" applyFont="1" applyFill="1" applyBorder="1"/>
    <xf numFmtId="0" fontId="5" fillId="0" borderId="6" xfId="0" applyFont="1" applyFill="1" applyBorder="1"/>
    <xf numFmtId="0" fontId="6" fillId="0" borderId="6" xfId="0" applyFont="1" applyFill="1" applyBorder="1"/>
    <xf numFmtId="0" fontId="5" fillId="0" borderId="5" xfId="0" applyFont="1" applyFill="1" applyBorder="1"/>
    <xf numFmtId="164" fontId="6" fillId="0" borderId="6" xfId="5" applyNumberFormat="1" applyFont="1" applyFill="1" applyBorder="1"/>
    <xf numFmtId="0" fontId="5" fillId="0" borderId="0" xfId="0" applyFont="1" applyFill="1"/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3" fontId="6" fillId="0" borderId="3" xfId="0" applyNumberFormat="1" applyFont="1" applyFill="1" applyBorder="1"/>
    <xf numFmtId="164" fontId="6" fillId="0" borderId="3" xfId="2" applyNumberFormat="1" applyFont="1" applyFill="1" applyBorder="1"/>
    <xf numFmtId="43" fontId="6" fillId="0" borderId="6" xfId="0" applyNumberFormat="1" applyFont="1" applyFill="1" applyBorder="1"/>
    <xf numFmtId="164" fontId="6" fillId="0" borderId="6" xfId="2" applyNumberFormat="1" applyFont="1" applyFill="1" applyBorder="1"/>
    <xf numFmtId="43" fontId="5" fillId="0" borderId="6" xfId="0" applyNumberFormat="1" applyFont="1" applyFill="1" applyBorder="1"/>
    <xf numFmtId="164" fontId="5" fillId="0" borderId="6" xfId="0" applyNumberFormat="1" applyFont="1" applyFill="1" applyBorder="1" applyProtection="1">
      <protection hidden="1"/>
    </xf>
    <xf numFmtId="164" fontId="5" fillId="0" borderId="6" xfId="0" applyNumberFormat="1" applyFont="1" applyFill="1" applyBorder="1"/>
    <xf numFmtId="164" fontId="7" fillId="0" borderId="6" xfId="0" applyNumberFormat="1" applyFont="1" applyFill="1" applyBorder="1" applyProtection="1">
      <protection hidden="1"/>
    </xf>
    <xf numFmtId="0" fontId="7" fillId="0" borderId="0" xfId="0" applyFont="1" applyFill="1"/>
    <xf numFmtId="43" fontId="8" fillId="0" borderId="6" xfId="0" applyNumberFormat="1" applyFont="1" applyFill="1" applyBorder="1"/>
    <xf numFmtId="44" fontId="5" fillId="0" borderId="6" xfId="1" applyFont="1" applyFill="1" applyBorder="1"/>
    <xf numFmtId="44" fontId="5" fillId="0" borderId="0" xfId="1" applyFont="1" applyFill="1"/>
    <xf numFmtId="164" fontId="5" fillId="0" borderId="6" xfId="0" applyNumberFormat="1" applyFont="1" applyFill="1" applyBorder="1" applyAlignment="1"/>
    <xf numFmtId="0" fontId="5" fillId="0" borderId="6" xfId="0" applyFont="1" applyFill="1" applyBorder="1" applyAlignment="1"/>
    <xf numFmtId="164" fontId="5" fillId="0" borderId="0" xfId="0" applyNumberFormat="1" applyFont="1" applyFill="1"/>
    <xf numFmtId="0" fontId="6" fillId="0" borderId="0" xfId="0" applyFont="1" applyFill="1" applyAlignment="1"/>
    <xf numFmtId="3" fontId="7" fillId="0" borderId="1" xfId="0" applyNumberFormat="1" applyFont="1" applyFill="1" applyBorder="1" applyAlignment="1"/>
    <xf numFmtId="0" fontId="6" fillId="0" borderId="4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6" fillId="0" borderId="6" xfId="2" applyFont="1" applyFill="1" applyBorder="1"/>
    <xf numFmtId="3" fontId="6" fillId="0" borderId="6" xfId="2" applyNumberFormat="1" applyFont="1" applyFill="1" applyBorder="1"/>
    <xf numFmtId="3" fontId="5" fillId="0" borderId="6" xfId="2" applyNumberFormat="1" applyFont="1" applyFill="1" applyBorder="1"/>
    <xf numFmtId="3" fontId="7" fillId="0" borderId="6" xfId="2" applyNumberFormat="1" applyFont="1" applyFill="1" applyBorder="1"/>
    <xf numFmtId="43" fontId="7" fillId="0" borderId="6" xfId="0" applyNumberFormat="1" applyFont="1" applyFill="1" applyBorder="1"/>
    <xf numFmtId="0" fontId="6" fillId="0" borderId="6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left"/>
    </xf>
    <xf numFmtId="164" fontId="8" fillId="0" borderId="6" xfId="2" applyNumberFormat="1" applyFont="1" applyFill="1" applyBorder="1"/>
    <xf numFmtId="0" fontId="5" fillId="0" borderId="6" xfId="2" applyFont="1" applyFill="1" applyBorder="1"/>
    <xf numFmtId="164" fontId="6" fillId="0" borderId="6" xfId="0" applyNumberFormat="1" applyFont="1" applyFill="1" applyBorder="1"/>
    <xf numFmtId="164" fontId="7" fillId="0" borderId="0" xfId="0" applyNumberFormat="1" applyFont="1" applyFill="1" applyBorder="1" applyAlignment="1">
      <alignment horizontal="center"/>
    </xf>
    <xf numFmtId="164" fontId="7" fillId="0" borderId="6" xfId="2" applyNumberFormat="1" applyFont="1" applyFill="1" applyBorder="1"/>
    <xf numFmtId="44" fontId="7" fillId="0" borderId="6" xfId="1" applyFont="1" applyFill="1" applyBorder="1"/>
    <xf numFmtId="44" fontId="7" fillId="0" borderId="0" xfId="1" applyFont="1" applyFill="1"/>
    <xf numFmtId="0" fontId="7" fillId="0" borderId="1" xfId="0" applyFont="1" applyFill="1" applyBorder="1" applyAlignment="1"/>
    <xf numFmtId="164" fontId="6" fillId="0" borderId="0" xfId="0" applyNumberFormat="1" applyFont="1" applyFill="1" applyAlignment="1">
      <alignment horizontal="center"/>
    </xf>
    <xf numFmtId="0" fontId="10" fillId="0" borderId="0" xfId="0" applyFont="1"/>
    <xf numFmtId="0" fontId="11" fillId="2" borderId="0" xfId="0" applyFont="1" applyFill="1" applyBorder="1" applyAlignment="1"/>
    <xf numFmtId="3" fontId="11" fillId="2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/>
    </xf>
    <xf numFmtId="0" fontId="11" fillId="0" borderId="3" xfId="3" applyFont="1" applyBorder="1" applyAlignment="1">
      <alignment horizontal="center" vertical="center"/>
    </xf>
    <xf numFmtId="164" fontId="11" fillId="0" borderId="3" xfId="3" applyNumberFormat="1" applyFont="1" applyBorder="1" applyAlignment="1">
      <alignment vertical="center"/>
    </xf>
    <xf numFmtId="43" fontId="11" fillId="4" borderId="3" xfId="4" applyNumberFormat="1" applyFont="1" applyFill="1" applyBorder="1" applyAlignment="1">
      <alignment horizontal="right"/>
    </xf>
    <xf numFmtId="0" fontId="11" fillId="0" borderId="6" xfId="3" applyFont="1" applyBorder="1" applyAlignment="1">
      <alignment horizontal="center" vertical="center"/>
    </xf>
    <xf numFmtId="164" fontId="11" fillId="0" borderId="6" xfId="3" applyNumberFormat="1" applyFont="1" applyBorder="1" applyAlignment="1">
      <alignment vertical="center"/>
    </xf>
    <xf numFmtId="43" fontId="11" fillId="4" borderId="6" xfId="4" applyNumberFormat="1" applyFont="1" applyFill="1" applyBorder="1" applyAlignment="1">
      <alignment horizontal="right"/>
    </xf>
    <xf numFmtId="0" fontId="11" fillId="0" borderId="0" xfId="0" applyFont="1"/>
    <xf numFmtId="0" fontId="11" fillId="4" borderId="6" xfId="4" applyFont="1" applyFill="1" applyBorder="1" applyAlignment="1">
      <alignment horizontal="left"/>
    </xf>
    <xf numFmtId="164" fontId="11" fillId="4" borderId="6" xfId="4" applyNumberFormat="1" applyFont="1" applyFill="1" applyBorder="1" applyAlignment="1">
      <alignment horizontal="right"/>
    </xf>
    <xf numFmtId="164" fontId="11" fillId="0" borderId="6" xfId="4" applyNumberFormat="1" applyFont="1" applyFill="1" applyBorder="1" applyAlignment="1">
      <alignment horizontal="right"/>
    </xf>
    <xf numFmtId="0" fontId="10" fillId="4" borderId="6" xfId="4" applyFont="1" applyFill="1" applyBorder="1" applyAlignment="1">
      <alignment horizontal="left"/>
    </xf>
    <xf numFmtId="164" fontId="10" fillId="4" borderId="6" xfId="4" applyNumberFormat="1" applyFont="1" applyFill="1" applyBorder="1" applyAlignment="1">
      <alignment horizontal="right"/>
    </xf>
    <xf numFmtId="164" fontId="10" fillId="0" borderId="6" xfId="4" applyNumberFormat="1" applyFont="1" applyFill="1" applyBorder="1" applyAlignment="1">
      <alignment horizontal="right"/>
    </xf>
    <xf numFmtId="43" fontId="10" fillId="4" borderId="6" xfId="4" applyNumberFormat="1" applyFont="1" applyFill="1" applyBorder="1" applyAlignment="1">
      <alignment horizontal="right"/>
    </xf>
    <xf numFmtId="0" fontId="11" fillId="4" borderId="6" xfId="4" applyNumberFormat="1" applyFont="1" applyFill="1" applyBorder="1" applyAlignment="1">
      <alignment horizontal="left"/>
    </xf>
    <xf numFmtId="0" fontId="11" fillId="4" borderId="6" xfId="4" applyNumberFormat="1" applyFont="1" applyFill="1" applyBorder="1"/>
    <xf numFmtId="0" fontId="10" fillId="4" borderId="6" xfId="4" applyNumberFormat="1" applyFont="1" applyFill="1" applyBorder="1"/>
    <xf numFmtId="0" fontId="10" fillId="5" borderId="6" xfId="4" applyNumberFormat="1" applyFont="1" applyFill="1" applyBorder="1"/>
    <xf numFmtId="3" fontId="11" fillId="0" borderId="6" xfId="0" applyNumberFormat="1" applyFont="1" applyBorder="1"/>
    <xf numFmtId="164" fontId="10" fillId="0" borderId="6" xfId="5" applyNumberFormat="1" applyFont="1" applyBorder="1"/>
    <xf numFmtId="164" fontId="11" fillId="0" borderId="6" xfId="5" applyNumberFormat="1" applyFont="1" applyBorder="1"/>
    <xf numFmtId="0" fontId="11" fillId="4" borderId="6" xfId="4" applyFont="1" applyFill="1" applyBorder="1"/>
    <xf numFmtId="0" fontId="11" fillId="0" borderId="6" xfId="0" applyFont="1" applyBorder="1" applyAlignment="1">
      <alignment horizontal="center"/>
    </xf>
    <xf numFmtId="0" fontId="10" fillId="0" borderId="6" xfId="0" applyFont="1" applyBorder="1"/>
    <xf numFmtId="164" fontId="10" fillId="0" borderId="6" xfId="5" applyNumberFormat="1" applyFont="1" applyBorder="1" applyAlignment="1"/>
    <xf numFmtId="164" fontId="10" fillId="0" borderId="5" xfId="5" applyNumberFormat="1" applyFont="1" applyBorder="1"/>
    <xf numFmtId="43" fontId="10" fillId="4" borderId="5" xfId="4" applyNumberFormat="1" applyFont="1" applyFill="1" applyBorder="1" applyAlignment="1">
      <alignment horizontal="right"/>
    </xf>
    <xf numFmtId="0" fontId="10" fillId="0" borderId="5" xfId="0" applyFont="1" applyBorder="1"/>
    <xf numFmtId="164" fontId="10" fillId="0" borderId="0" xfId="0" applyNumberFormat="1" applyFont="1"/>
    <xf numFmtId="164" fontId="7" fillId="0" borderId="1" xfId="0" applyNumberFormat="1" applyFont="1" applyFill="1" applyBorder="1" applyAlignment="1"/>
    <xf numFmtId="0" fontId="8" fillId="0" borderId="6" xfId="2" applyFont="1" applyFill="1" applyBorder="1" applyAlignment="1">
      <alignment horizontal="left"/>
    </xf>
    <xf numFmtId="0" fontId="7" fillId="0" borderId="6" xfId="2" applyFont="1" applyFill="1" applyBorder="1"/>
    <xf numFmtId="164" fontId="0" fillId="0" borderId="0" xfId="0" applyNumberFormat="1"/>
    <xf numFmtId="0" fontId="12" fillId="0" borderId="1" xfId="0" applyFont="1" applyBorder="1" applyAlignment="1"/>
    <xf numFmtId="0" fontId="1" fillId="0" borderId="0" xfId="0" applyFont="1"/>
    <xf numFmtId="0" fontId="17" fillId="0" borderId="0" xfId="0" applyFont="1"/>
    <xf numFmtId="0" fontId="18" fillId="0" borderId="0" xfId="0" applyFont="1"/>
    <xf numFmtId="0" fontId="1" fillId="6" borderId="0" xfId="0" applyFont="1" applyFill="1"/>
    <xf numFmtId="0" fontId="0" fillId="0" borderId="0" xfId="0" applyFont="1"/>
    <xf numFmtId="0" fontId="19" fillId="0" borderId="0" xfId="0" applyFont="1"/>
    <xf numFmtId="0" fontId="20" fillId="0" borderId="0" xfId="0" applyFont="1"/>
    <xf numFmtId="164" fontId="10" fillId="0" borderId="6" xfId="5" applyNumberFormat="1" applyFont="1" applyFill="1" applyBorder="1"/>
    <xf numFmtId="43" fontId="10" fillId="0" borderId="6" xfId="5" applyFont="1" applyFill="1" applyBorder="1"/>
    <xf numFmtId="164" fontId="11" fillId="0" borderId="6" xfId="2" applyNumberFormat="1" applyFont="1" applyFill="1" applyBorder="1"/>
    <xf numFmtId="43" fontId="11" fillId="0" borderId="6" xfId="5" applyFont="1" applyFill="1" applyBorder="1"/>
    <xf numFmtId="43" fontId="21" fillId="0" borderId="6" xfId="5" applyFont="1" applyFill="1" applyBorder="1"/>
    <xf numFmtId="164" fontId="11" fillId="0" borderId="6" xfId="5" applyNumberFormat="1" applyFont="1" applyFill="1" applyBorder="1"/>
    <xf numFmtId="164" fontId="11" fillId="0" borderId="5" xfId="2" applyNumberFormat="1" applyFont="1" applyFill="1" applyBorder="1"/>
    <xf numFmtId="43" fontId="11" fillId="0" borderId="5" xfId="5" applyFont="1" applyFill="1" applyBorder="1"/>
    <xf numFmtId="164" fontId="10" fillId="0" borderId="0" xfId="5" applyNumberFormat="1" applyFont="1"/>
    <xf numFmtId="0" fontId="10" fillId="0" borderId="0" xfId="0" applyFont="1" applyBorder="1"/>
    <xf numFmtId="43" fontId="11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2" fillId="0" borderId="6" xfId="2" applyFont="1" applyBorder="1"/>
    <xf numFmtId="0" fontId="6" fillId="0" borderId="0" xfId="0" applyFont="1" applyFill="1"/>
    <xf numFmtId="164" fontId="6" fillId="0" borderId="6" xfId="0" applyNumberFormat="1" applyFont="1" applyFill="1" applyBorder="1" applyAlignment="1"/>
    <xf numFmtId="164" fontId="6" fillId="0" borderId="0" xfId="0" applyNumberFormat="1" applyFont="1" applyFill="1"/>
    <xf numFmtId="0" fontId="11" fillId="0" borderId="6" xfId="0" applyFont="1" applyBorder="1"/>
    <xf numFmtId="164" fontId="5" fillId="0" borderId="6" xfId="5" applyNumberFormat="1" applyFont="1" applyFill="1" applyBorder="1" applyAlignment="1"/>
    <xf numFmtId="3" fontId="6" fillId="0" borderId="3" xfId="2" applyNumberFormat="1" applyFont="1" applyFill="1" applyBorder="1" applyAlignment="1">
      <alignment horizontal="center"/>
    </xf>
    <xf numFmtId="0" fontId="11" fillId="4" borderId="6" xfId="4" applyNumberFormat="1" applyFont="1" applyFill="1" applyBorder="1" applyAlignment="1">
      <alignment wrapText="1"/>
    </xf>
    <xf numFmtId="0" fontId="7" fillId="0" borderId="6" xfId="2" applyFont="1" applyFill="1" applyBorder="1" applyAlignment="1">
      <alignment wrapText="1"/>
    </xf>
    <xf numFmtId="164" fontId="5" fillId="0" borderId="5" xfId="5" applyNumberFormat="1" applyFont="1" applyFill="1" applyBorder="1"/>
    <xf numFmtId="43" fontId="5" fillId="0" borderId="5" xfId="0" applyNumberFormat="1" applyFont="1" applyFill="1" applyBorder="1"/>
    <xf numFmtId="0" fontId="5" fillId="0" borderId="0" xfId="0" applyFont="1" applyFill="1" applyBorder="1"/>
    <xf numFmtId="164" fontId="10" fillId="0" borderId="0" xfId="5" applyNumberFormat="1" applyFont="1" applyBorder="1"/>
    <xf numFmtId="43" fontId="10" fillId="4" borderId="0" xfId="4" applyNumberFormat="1" applyFont="1" applyFill="1" applyBorder="1" applyAlignment="1">
      <alignment horizontal="right"/>
    </xf>
    <xf numFmtId="164" fontId="10" fillId="0" borderId="5" xfId="5" applyNumberFormat="1" applyFont="1" applyFill="1" applyBorder="1"/>
    <xf numFmtId="0" fontId="6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Protection="1">
      <protection hidden="1"/>
    </xf>
    <xf numFmtId="43" fontId="10" fillId="0" borderId="6" xfId="5" applyFont="1" applyFill="1" applyBorder="1" applyProtection="1">
      <protection hidden="1"/>
    </xf>
    <xf numFmtId="164" fontId="10" fillId="0" borderId="6" xfId="0" applyNumberFormat="1" applyFont="1" applyFill="1" applyBorder="1"/>
    <xf numFmtId="164" fontId="12" fillId="0" borderId="6" xfId="0" applyNumberFormat="1" applyFont="1" applyFill="1" applyBorder="1" applyProtection="1">
      <protection hidden="1"/>
    </xf>
    <xf numFmtId="43" fontId="12" fillId="0" borderId="6" xfId="5" applyFont="1" applyFill="1" applyBorder="1" applyProtection="1">
      <protection hidden="1"/>
    </xf>
    <xf numFmtId="0" fontId="11" fillId="0" borderId="6" xfId="2" applyFont="1" applyFill="1" applyBorder="1" applyAlignment="1">
      <alignment horizontal="center"/>
    </xf>
    <xf numFmtId="164" fontId="11" fillId="0" borderId="6" xfId="0" applyNumberFormat="1" applyFont="1" applyFill="1" applyBorder="1" applyProtection="1">
      <protection hidden="1"/>
    </xf>
    <xf numFmtId="43" fontId="11" fillId="0" borderId="6" xfId="5" applyFont="1" applyFill="1" applyBorder="1" applyProtection="1">
      <protection hidden="1"/>
    </xf>
    <xf numFmtId="0" fontId="11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left"/>
    </xf>
    <xf numFmtId="164" fontId="16" fillId="0" borderId="6" xfId="0" applyNumberFormat="1" applyFont="1" applyFill="1" applyBorder="1" applyProtection="1">
      <protection hidden="1"/>
    </xf>
    <xf numFmtId="43" fontId="16" fillId="0" borderId="6" xfId="5" applyFont="1" applyFill="1" applyBorder="1" applyProtection="1">
      <protection hidden="1"/>
    </xf>
    <xf numFmtId="0" fontId="10" fillId="0" borderId="6" xfId="2" applyFont="1" applyFill="1" applyBorder="1"/>
    <xf numFmtId="164" fontId="10" fillId="0" borderId="6" xfId="2" applyNumberFormat="1" applyFont="1" applyFill="1" applyBorder="1"/>
    <xf numFmtId="0" fontId="11" fillId="0" borderId="6" xfId="2" applyFont="1" applyFill="1" applyBorder="1"/>
    <xf numFmtId="0" fontId="11" fillId="0" borderId="5" xfId="2" applyFont="1" applyFill="1" applyBorder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0" fillId="0" borderId="0" xfId="0" applyFont="1" applyFill="1"/>
    <xf numFmtId="0" fontId="21" fillId="0" borderId="0" xfId="0" applyFont="1" applyFill="1" applyAlignment="1"/>
    <xf numFmtId="3" fontId="11" fillId="0" borderId="0" xfId="0" applyNumberFormat="1" applyFont="1" applyFill="1" applyAlignment="1">
      <alignment horizontal="center"/>
    </xf>
    <xf numFmtId="164" fontId="0" fillId="0" borderId="0" xfId="0" applyNumberFormat="1" applyFont="1" applyFill="1"/>
    <xf numFmtId="0" fontId="12" fillId="0" borderId="1" xfId="0" applyFont="1" applyFill="1" applyBorder="1" applyAlignment="1">
      <alignment horizontal="center"/>
    </xf>
    <xf numFmtId="43" fontId="0" fillId="0" borderId="0" xfId="5" applyFont="1" applyFill="1"/>
    <xf numFmtId="167" fontId="15" fillId="0" borderId="0" xfId="0" applyNumberFormat="1" applyFont="1" applyFill="1"/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/>
    </xf>
    <xf numFmtId="164" fontId="11" fillId="0" borderId="3" xfId="2" applyNumberFormat="1" applyFont="1" applyFill="1" applyBorder="1"/>
    <xf numFmtId="43" fontId="11" fillId="0" borderId="3" xfId="5" applyFont="1" applyFill="1" applyBorder="1"/>
    <xf numFmtId="43" fontId="11" fillId="0" borderId="3" xfId="0" applyNumberFormat="1" applyFont="1" applyFill="1" applyBorder="1"/>
    <xf numFmtId="43" fontId="11" fillId="0" borderId="6" xfId="0" applyNumberFormat="1" applyFont="1" applyFill="1" applyBorder="1"/>
    <xf numFmtId="3" fontId="11" fillId="0" borderId="6" xfId="2" applyNumberFormat="1" applyFont="1" applyFill="1" applyBorder="1"/>
    <xf numFmtId="3" fontId="16" fillId="0" borderId="6" xfId="2" applyNumberFormat="1" applyFont="1" applyFill="1" applyBorder="1"/>
    <xf numFmtId="164" fontId="16" fillId="0" borderId="6" xfId="2" applyNumberFormat="1" applyFont="1" applyFill="1" applyBorder="1"/>
    <xf numFmtId="43" fontId="16" fillId="0" borderId="6" xfId="5" applyFont="1" applyFill="1" applyBorder="1"/>
    <xf numFmtId="43" fontId="16" fillId="0" borderId="6" xfId="0" applyNumberFormat="1" applyFont="1" applyFill="1" applyBorder="1"/>
    <xf numFmtId="3" fontId="10" fillId="0" borderId="6" xfId="2" applyNumberFormat="1" applyFont="1" applyFill="1" applyBorder="1"/>
    <xf numFmtId="43" fontId="10" fillId="0" borderId="6" xfId="0" applyNumberFormat="1" applyFont="1" applyFill="1" applyBorder="1"/>
    <xf numFmtId="3" fontId="12" fillId="0" borderId="6" xfId="2" applyNumberFormat="1" applyFont="1" applyFill="1" applyBorder="1"/>
    <xf numFmtId="43" fontId="12" fillId="0" borderId="6" xfId="0" applyNumberFormat="1" applyFont="1" applyFill="1" applyBorder="1"/>
    <xf numFmtId="0" fontId="11" fillId="0" borderId="0" xfId="0" applyFont="1" applyFill="1" applyAlignment="1">
      <alignment horizontal="center"/>
    </xf>
    <xf numFmtId="0" fontId="10" fillId="0" borderId="0" xfId="0" applyFont="1" applyFill="1"/>
    <xf numFmtId="164" fontId="11" fillId="0" borderId="0" xfId="5" applyNumberFormat="1" applyFont="1" applyFill="1" applyAlignment="1"/>
    <xf numFmtId="165" fontId="11" fillId="0" borderId="0" xfId="5" applyNumberFormat="1" applyFont="1" applyFill="1" applyAlignment="1"/>
    <xf numFmtId="164" fontId="10" fillId="0" borderId="0" xfId="5" applyNumberFormat="1" applyFont="1" applyFill="1"/>
    <xf numFmtId="165" fontId="11" fillId="0" borderId="0" xfId="0" applyNumberFormat="1" applyFont="1" applyFill="1" applyBorder="1" applyAlignment="1"/>
    <xf numFmtId="164" fontId="11" fillId="0" borderId="0" xfId="5" applyNumberFormat="1" applyFont="1" applyFill="1" applyBorder="1" applyAlignment="1">
      <alignment horizontal="center"/>
    </xf>
    <xf numFmtId="164" fontId="10" fillId="0" borderId="0" xfId="0" applyNumberFormat="1" applyFont="1" applyFill="1"/>
    <xf numFmtId="0" fontId="10" fillId="0" borderId="0" xfId="0" applyFont="1" applyFill="1" applyBorder="1"/>
    <xf numFmtId="168" fontId="10" fillId="0" borderId="0" xfId="5" applyNumberFormat="1" applyFont="1" applyFill="1"/>
    <xf numFmtId="164" fontId="24" fillId="0" borderId="0" xfId="0" applyNumberFormat="1" applyFont="1" applyFill="1"/>
    <xf numFmtId="165" fontId="10" fillId="0" borderId="0" xfId="5" applyNumberFormat="1" applyFont="1" applyFill="1"/>
    <xf numFmtId="43" fontId="10" fillId="0" borderId="1" xfId="5" applyFont="1" applyFill="1" applyBorder="1" applyAlignment="1"/>
    <xf numFmtId="43" fontId="10" fillId="0" borderId="1" xfId="5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3" fontId="11" fillId="0" borderId="3" xfId="4" applyNumberFormat="1" applyFont="1" applyFill="1" applyBorder="1" applyAlignment="1">
      <alignment horizontal="right"/>
    </xf>
    <xf numFmtId="164" fontId="11" fillId="0" borderId="3" xfId="3" applyNumberFormat="1" applyFont="1" applyFill="1" applyBorder="1" applyAlignment="1">
      <alignment vertical="center"/>
    </xf>
    <xf numFmtId="43" fontId="10" fillId="0" borderId="6" xfId="4" applyNumberFormat="1" applyFont="1" applyFill="1" applyBorder="1" applyAlignment="1">
      <alignment horizontal="right"/>
    </xf>
    <xf numFmtId="43" fontId="11" fillId="0" borderId="5" xfId="4" applyNumberFormat="1" applyFont="1" applyFill="1" applyBorder="1" applyAlignment="1">
      <alignment horizontal="right"/>
    </xf>
    <xf numFmtId="0" fontId="11" fillId="0" borderId="3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/>
    </xf>
    <xf numFmtId="164" fontId="11" fillId="0" borderId="6" xfId="3" applyNumberFormat="1" applyFont="1" applyFill="1" applyBorder="1" applyAlignment="1">
      <alignment vertical="center"/>
    </xf>
    <xf numFmtId="0" fontId="11" fillId="0" borderId="6" xfId="4" applyFont="1" applyFill="1" applyBorder="1" applyAlignment="1">
      <alignment horizontal="left"/>
    </xf>
    <xf numFmtId="0" fontId="10" fillId="0" borderId="6" xfId="4" applyFont="1" applyFill="1" applyBorder="1" applyAlignment="1">
      <alignment horizontal="left"/>
    </xf>
    <xf numFmtId="0" fontId="11" fillId="0" borderId="6" xfId="4" applyNumberFormat="1" applyFont="1" applyFill="1" applyBorder="1" applyAlignment="1">
      <alignment horizontal="left"/>
    </xf>
    <xf numFmtId="0" fontId="11" fillId="0" borderId="6" xfId="4" applyNumberFormat="1" applyFont="1" applyFill="1" applyBorder="1"/>
    <xf numFmtId="0" fontId="10" fillId="0" borderId="6" xfId="4" applyNumberFormat="1" applyFont="1" applyFill="1" applyBorder="1"/>
    <xf numFmtId="0" fontId="11" fillId="0" borderId="6" xfId="4" applyFont="1" applyFill="1" applyBorder="1"/>
    <xf numFmtId="0" fontId="11" fillId="0" borderId="5" xfId="0" applyFont="1" applyFill="1" applyBorder="1" applyAlignment="1">
      <alignment horizontal="center"/>
    </xf>
    <xf numFmtId="164" fontId="11" fillId="0" borderId="5" xfId="5" applyNumberFormat="1" applyFont="1" applyFill="1" applyBorder="1"/>
  </cellXfs>
  <cellStyles count="6">
    <cellStyle name="Comma" xfId="5" builtinId="3"/>
    <cellStyle name="Currency" xfId="1" builtinId="4"/>
    <cellStyle name="Normal" xfId="0" builtinId="0"/>
    <cellStyle name="Normal_Chi_2004(TT)" xfId="4"/>
    <cellStyle name="Normal_Chi-HDND" xfId="3"/>
    <cellStyle name="Normal_QT 2011" xfId="2"/>
  </cellStyles>
  <dxfs count="0"/>
  <tableStyles count="0" defaultTableStyle="TableStyleMedium9" defaultPivotStyle="PivotStyleLight16"/>
  <colors>
    <mruColors>
      <color rgb="FFFF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5"/>
  <sheetViews>
    <sheetView zoomScaleNormal="100" workbookViewId="0">
      <pane xSplit="1" ySplit="8" topLeftCell="B64" activePane="bottomRight" state="frozen"/>
      <selection pane="topRight" activeCell="B1" sqref="B1"/>
      <selection pane="bottomLeft" activeCell="A9" sqref="A9"/>
      <selection pane="bottomRight" activeCell="L7" sqref="L7"/>
    </sheetView>
  </sheetViews>
  <sheetFormatPr defaultRowHeight="15.75" x14ac:dyDescent="0.25"/>
  <cols>
    <col min="1" max="1" width="57.42578125" style="7" bestFit="1" customWidth="1"/>
    <col min="2" max="2" width="14" style="7" bestFit="1" customWidth="1"/>
    <col min="3" max="3" width="13.7109375" style="7" bestFit="1" customWidth="1"/>
    <col min="4" max="4" width="12.85546875" style="7" customWidth="1"/>
    <col min="5" max="6" width="10.42578125" style="7" customWidth="1"/>
    <col min="7" max="8" width="13.140625" style="7" customWidth="1"/>
    <col min="9" max="9" width="12.5703125" style="7" customWidth="1"/>
    <col min="10" max="10" width="11.5703125" style="7" bestFit="1" customWidth="1"/>
    <col min="11" max="16384" width="9.140625" style="7"/>
  </cols>
  <sheetData>
    <row r="1" spans="1:9" x14ac:dyDescent="0.25">
      <c r="A1" s="128"/>
      <c r="B1" s="128"/>
      <c r="C1" s="128"/>
      <c r="D1" s="45"/>
      <c r="E1" s="121"/>
      <c r="F1" s="121"/>
    </row>
    <row r="2" spans="1:9" x14ac:dyDescent="0.25">
      <c r="A2" s="128" t="s">
        <v>119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25">
      <c r="A3" s="128" t="s">
        <v>77</v>
      </c>
      <c r="B3" s="128"/>
      <c r="C3" s="128"/>
      <c r="D3" s="128"/>
      <c r="E3" s="128"/>
      <c r="F3" s="128"/>
      <c r="G3" s="128"/>
      <c r="H3" s="128"/>
      <c r="I3" s="128"/>
    </row>
    <row r="4" spans="1:9" x14ac:dyDescent="0.25">
      <c r="A4" s="25"/>
      <c r="B4" s="26"/>
      <c r="C4" s="26"/>
      <c r="D4" s="40"/>
      <c r="E4" s="82"/>
      <c r="F4" s="44"/>
      <c r="G4" s="129" t="s">
        <v>0</v>
      </c>
      <c r="H4" s="129"/>
      <c r="I4" s="129"/>
    </row>
    <row r="5" spans="1:9" ht="34.5" customHeight="1" x14ac:dyDescent="0.25">
      <c r="A5" s="133" t="s">
        <v>1</v>
      </c>
      <c r="B5" s="134" t="s">
        <v>66</v>
      </c>
      <c r="C5" s="135"/>
      <c r="D5" s="126" t="s">
        <v>75</v>
      </c>
      <c r="E5" s="130" t="s">
        <v>73</v>
      </c>
      <c r="F5" s="130"/>
      <c r="G5" s="131" t="s">
        <v>76</v>
      </c>
      <c r="H5" s="132"/>
      <c r="I5" s="126" t="s">
        <v>140</v>
      </c>
    </row>
    <row r="6" spans="1:9" ht="34.5" customHeight="1" x14ac:dyDescent="0.25">
      <c r="A6" s="133"/>
      <c r="B6" s="27" t="s">
        <v>2</v>
      </c>
      <c r="C6" s="27" t="s">
        <v>3</v>
      </c>
      <c r="D6" s="127"/>
      <c r="E6" s="123" t="s">
        <v>35</v>
      </c>
      <c r="F6" s="123" t="s">
        <v>36</v>
      </c>
      <c r="G6" s="27" t="s">
        <v>2</v>
      </c>
      <c r="H6" s="27" t="s">
        <v>3</v>
      </c>
      <c r="I6" s="127"/>
    </row>
    <row r="7" spans="1:9" x14ac:dyDescent="0.25">
      <c r="A7" s="28">
        <v>1</v>
      </c>
      <c r="B7" s="29">
        <v>2</v>
      </c>
      <c r="C7" s="29">
        <v>3</v>
      </c>
      <c r="D7" s="8">
        <v>4</v>
      </c>
      <c r="E7" s="8" t="s">
        <v>74</v>
      </c>
      <c r="F7" s="9">
        <v>6</v>
      </c>
      <c r="G7" s="8">
        <v>7</v>
      </c>
      <c r="H7" s="8">
        <v>8</v>
      </c>
      <c r="I7" s="8" t="s">
        <v>139</v>
      </c>
    </row>
    <row r="8" spans="1:9" x14ac:dyDescent="0.25">
      <c r="A8" s="112" t="s">
        <v>163</v>
      </c>
      <c r="B8" s="11">
        <f>+B9+B10</f>
        <v>6638000</v>
      </c>
      <c r="C8" s="11">
        <f>+C9+C10</f>
        <v>6638000</v>
      </c>
      <c r="D8" s="11">
        <f>+D9+D10</f>
        <v>7356000</v>
      </c>
      <c r="E8" s="10">
        <f>+D8/C8%</f>
        <v>110.81651099728833</v>
      </c>
      <c r="F8" s="10">
        <v>97.001390733571711</v>
      </c>
      <c r="G8" s="11">
        <f>+G9+G10</f>
        <v>7197000</v>
      </c>
      <c r="H8" s="11">
        <f>+H9+H10</f>
        <v>7197000</v>
      </c>
      <c r="I8" s="10">
        <f>+H8/D8%</f>
        <v>97.838499184339312</v>
      </c>
    </row>
    <row r="9" spans="1:9" x14ac:dyDescent="0.25">
      <c r="A9" s="30" t="s">
        <v>26</v>
      </c>
      <c r="B9" s="13">
        <v>410000</v>
      </c>
      <c r="C9" s="13">
        <v>410000</v>
      </c>
      <c r="D9" s="13">
        <v>450000</v>
      </c>
      <c r="E9" s="12">
        <f>+D9/C9%</f>
        <v>109.7560975609756</v>
      </c>
      <c r="F9" s="12">
        <v>99.849973196384141</v>
      </c>
      <c r="G9" s="13">
        <v>330000</v>
      </c>
      <c r="H9" s="13">
        <v>330000</v>
      </c>
      <c r="I9" s="12">
        <f t="shared" ref="I9:I67" si="0">+H9/D9%</f>
        <v>73.333333333333329</v>
      </c>
    </row>
    <row r="10" spans="1:9" x14ac:dyDescent="0.25">
      <c r="A10" s="31" t="s">
        <v>27</v>
      </c>
      <c r="B10" s="13">
        <f>+B12+B13+B14+B15+B16+B17+B18+B19+B22+B24+B25+B26+B27+B31+B32+B33</f>
        <v>6228000</v>
      </c>
      <c r="C10" s="13">
        <f>+C12+C13+C14+C15+C16+C17+C18+C19+C22+C24+C25+C26+C27+C31+C32+C33</f>
        <v>6228000</v>
      </c>
      <c r="D10" s="13">
        <f>+D12+D13+D14+D15+D16+D17+D18+D19+D22+D24+D25+D26+D27+D31+D32+D33</f>
        <v>6906000</v>
      </c>
      <c r="E10" s="12">
        <f>+D10/C10%</f>
        <v>110.88631984585741</v>
      </c>
      <c r="F10" s="12">
        <v>96.821404966314162</v>
      </c>
      <c r="G10" s="13">
        <f>+G12+G13+G14+G15+G16+G17+G18+G19+G22+G24+G25+G26+G27+G31+G32+G33</f>
        <v>6867000</v>
      </c>
      <c r="H10" s="13">
        <f>+H12+H13+H14+H15+H16+H17+H18+H19+H22+H24+H25+H26+H27+H31+H32+H33</f>
        <v>6867000</v>
      </c>
      <c r="I10" s="12">
        <f t="shared" si="0"/>
        <v>99.435273675065162</v>
      </c>
    </row>
    <row r="11" spans="1:9" x14ac:dyDescent="0.25">
      <c r="A11" s="31" t="s">
        <v>28</v>
      </c>
      <c r="B11" s="13">
        <f>+B10-B24-B33</f>
        <v>4028000</v>
      </c>
      <c r="C11" s="13">
        <f>+C10-C24-C33</f>
        <v>4028000</v>
      </c>
      <c r="D11" s="13">
        <f>+D10-D24-D33</f>
        <v>4691000</v>
      </c>
      <c r="E11" s="12">
        <f>+D11/C11%</f>
        <v>116.45978152929493</v>
      </c>
      <c r="F11" s="12">
        <v>103.05301784118453</v>
      </c>
      <c r="G11" s="13">
        <f>+G10-G24-G33</f>
        <v>4357000</v>
      </c>
      <c r="H11" s="13">
        <f>+H10-H24-H33</f>
        <v>4357000</v>
      </c>
      <c r="I11" s="12">
        <f t="shared" si="0"/>
        <v>92.879982946066932</v>
      </c>
    </row>
    <row r="12" spans="1:9" x14ac:dyDescent="0.25">
      <c r="A12" s="32" t="s">
        <v>161</v>
      </c>
      <c r="B12" s="15">
        <v>240000</v>
      </c>
      <c r="C12" s="15">
        <v>240000</v>
      </c>
      <c r="D12" s="15">
        <v>242000</v>
      </c>
      <c r="E12" s="14">
        <f>+D12/C12%</f>
        <v>100.83333333333333</v>
      </c>
      <c r="F12" s="14">
        <v>93.870869168763917</v>
      </c>
      <c r="G12" s="15">
        <v>215000</v>
      </c>
      <c r="H12" s="15">
        <v>215000</v>
      </c>
      <c r="I12" s="14">
        <f t="shared" si="0"/>
        <v>88.84297520661157</v>
      </c>
    </row>
    <row r="13" spans="1:9" x14ac:dyDescent="0.25">
      <c r="A13" s="32" t="s">
        <v>162</v>
      </c>
      <c r="B13" s="16">
        <v>360000</v>
      </c>
      <c r="C13" s="16">
        <v>360000</v>
      </c>
      <c r="D13" s="16">
        <f>415000+5000</f>
        <v>420000</v>
      </c>
      <c r="E13" s="14">
        <f>+D13/C13%</f>
        <v>116.66666666666667</v>
      </c>
      <c r="F13" s="14">
        <v>103.27462720754957</v>
      </c>
      <c r="G13" s="16">
        <v>460000</v>
      </c>
      <c r="H13" s="16">
        <v>460000</v>
      </c>
      <c r="I13" s="14">
        <f t="shared" si="0"/>
        <v>109.52380952380952</v>
      </c>
    </row>
    <row r="14" spans="1:9" x14ac:dyDescent="0.25">
      <c r="A14" s="32" t="s">
        <v>164</v>
      </c>
      <c r="B14" s="1">
        <v>31000</v>
      </c>
      <c r="C14" s="1">
        <v>31000</v>
      </c>
      <c r="D14" s="1">
        <v>110000</v>
      </c>
      <c r="E14" s="14">
        <f>+D14/C14%</f>
        <v>354.83870967741933</v>
      </c>
      <c r="F14" s="14">
        <v>232.68384292258352</v>
      </c>
      <c r="G14" s="1">
        <v>75000</v>
      </c>
      <c r="H14" s="1">
        <v>75000</v>
      </c>
      <c r="I14" s="14">
        <f t="shared" si="0"/>
        <v>68.181818181818187</v>
      </c>
    </row>
    <row r="15" spans="1:9" x14ac:dyDescent="0.25">
      <c r="A15" s="32" t="s">
        <v>165</v>
      </c>
      <c r="B15" s="16">
        <v>1055000</v>
      </c>
      <c r="C15" s="16">
        <v>1055000</v>
      </c>
      <c r="D15" s="16">
        <v>1450000</v>
      </c>
      <c r="E15" s="14">
        <f>+D15/C15%</f>
        <v>137.44075829383885</v>
      </c>
      <c r="F15" s="14">
        <v>129.47398158147962</v>
      </c>
      <c r="G15" s="16">
        <v>1350000</v>
      </c>
      <c r="H15" s="16">
        <v>1350000</v>
      </c>
      <c r="I15" s="14">
        <f t="shared" si="0"/>
        <v>93.103448275862064</v>
      </c>
    </row>
    <row r="16" spans="1:9" x14ac:dyDescent="0.25">
      <c r="A16" s="32" t="s">
        <v>4</v>
      </c>
      <c r="B16" s="15">
        <v>350000</v>
      </c>
      <c r="C16" s="15">
        <v>350000</v>
      </c>
      <c r="D16" s="15">
        <v>350000</v>
      </c>
      <c r="E16" s="14">
        <f>+D16/C16%</f>
        <v>100</v>
      </c>
      <c r="F16" s="14">
        <v>80.974738551424764</v>
      </c>
      <c r="G16" s="15">
        <v>355000</v>
      </c>
      <c r="H16" s="15">
        <v>355000</v>
      </c>
      <c r="I16" s="14">
        <f t="shared" si="0"/>
        <v>101.42857142857143</v>
      </c>
    </row>
    <row r="17" spans="1:9" x14ac:dyDescent="0.25">
      <c r="A17" s="32" t="s">
        <v>5</v>
      </c>
      <c r="B17" s="15">
        <v>16700</v>
      </c>
      <c r="C17" s="15">
        <v>16700</v>
      </c>
      <c r="D17" s="15">
        <v>23000</v>
      </c>
      <c r="E17" s="14">
        <f>+D17/C17%</f>
        <v>137.7245508982036</v>
      </c>
      <c r="F17" s="14">
        <v>106.2232655091625</v>
      </c>
      <c r="G17" s="15">
        <v>17000</v>
      </c>
      <c r="H17" s="15">
        <v>17000</v>
      </c>
      <c r="I17" s="14">
        <f t="shared" si="0"/>
        <v>73.913043478260875</v>
      </c>
    </row>
    <row r="18" spans="1:9" x14ac:dyDescent="0.25">
      <c r="A18" s="32" t="s">
        <v>6</v>
      </c>
      <c r="B18" s="15">
        <v>620000</v>
      </c>
      <c r="C18" s="15">
        <v>620000</v>
      </c>
      <c r="D18" s="15">
        <f>740000+7000</f>
        <v>747000</v>
      </c>
      <c r="E18" s="14">
        <f>+D18/C18%</f>
        <v>120.48387096774194</v>
      </c>
      <c r="F18" s="14">
        <v>95.656131374392046</v>
      </c>
      <c r="G18" s="15">
        <v>720000</v>
      </c>
      <c r="H18" s="15">
        <v>720000</v>
      </c>
      <c r="I18" s="14">
        <f t="shared" si="0"/>
        <v>96.385542168674704</v>
      </c>
    </row>
    <row r="19" spans="1:9" x14ac:dyDescent="0.25">
      <c r="A19" s="32" t="s">
        <v>166</v>
      </c>
      <c r="B19" s="15">
        <v>680000</v>
      </c>
      <c r="C19" s="15">
        <v>680000</v>
      </c>
      <c r="D19" s="15">
        <f>361000+16000</f>
        <v>377000</v>
      </c>
      <c r="E19" s="14">
        <f>+D19/C19%</f>
        <v>55.441176470588232</v>
      </c>
      <c r="F19" s="14">
        <v>86.195757052955827</v>
      </c>
      <c r="G19" s="15">
        <v>410000</v>
      </c>
      <c r="H19" s="15">
        <v>410000</v>
      </c>
      <c r="I19" s="14">
        <f t="shared" si="0"/>
        <v>108.75331564986737</v>
      </c>
    </row>
    <row r="20" spans="1:9" s="18" customFormat="1" x14ac:dyDescent="0.25">
      <c r="A20" s="33" t="s">
        <v>7</v>
      </c>
      <c r="B20" s="17">
        <v>272000</v>
      </c>
      <c r="C20" s="17">
        <v>272000</v>
      </c>
      <c r="D20" s="17">
        <f>+D19*0.4</f>
        <v>150800</v>
      </c>
      <c r="E20" s="34">
        <f>+D20/C20%</f>
        <v>55.441176470588232</v>
      </c>
      <c r="F20" s="34">
        <v>66.323054311056367</v>
      </c>
      <c r="G20" s="17">
        <v>164000</v>
      </c>
      <c r="H20" s="17">
        <v>164000</v>
      </c>
      <c r="I20" s="34">
        <f t="shared" si="0"/>
        <v>108.75331564986737</v>
      </c>
    </row>
    <row r="21" spans="1:9" s="18" customFormat="1" x14ac:dyDescent="0.25">
      <c r="A21" s="33" t="s">
        <v>8</v>
      </c>
      <c r="B21" s="17">
        <f>+B19-B20</f>
        <v>408000</v>
      </c>
      <c r="C21" s="17">
        <f>+C19-C20</f>
        <v>408000</v>
      </c>
      <c r="D21" s="17">
        <f>+D19-D20</f>
        <v>226200</v>
      </c>
      <c r="E21" s="34">
        <f>+D21/C21%</f>
        <v>55.441176470588232</v>
      </c>
      <c r="F21" s="34">
        <v>107.71192631018558</v>
      </c>
      <c r="G21" s="17">
        <f>+G19-G20</f>
        <v>246000</v>
      </c>
      <c r="H21" s="17">
        <f>+H19-H20</f>
        <v>246000</v>
      </c>
      <c r="I21" s="34">
        <f t="shared" si="0"/>
        <v>108.75331564986737</v>
      </c>
    </row>
    <row r="22" spans="1:9" x14ac:dyDescent="0.25">
      <c r="A22" s="32" t="s">
        <v>9</v>
      </c>
      <c r="B22" s="15">
        <v>185000</v>
      </c>
      <c r="C22" s="15">
        <v>185000</v>
      </c>
      <c r="D22" s="15">
        <f>240000+10000</f>
        <v>250000</v>
      </c>
      <c r="E22" s="14">
        <f>+D22/C22%</f>
        <v>135.13513513513513</v>
      </c>
      <c r="F22" s="14">
        <v>107.4370998862443</v>
      </c>
      <c r="G22" s="15">
        <v>240000</v>
      </c>
      <c r="H22" s="15">
        <v>240000</v>
      </c>
      <c r="I22" s="14">
        <f t="shared" si="0"/>
        <v>96</v>
      </c>
    </row>
    <row r="23" spans="1:9" s="18" customFormat="1" x14ac:dyDescent="0.25">
      <c r="A23" s="33" t="s">
        <v>10</v>
      </c>
      <c r="B23" s="17">
        <v>47000</v>
      </c>
      <c r="C23" s="17">
        <v>47000</v>
      </c>
      <c r="D23" s="17">
        <v>54000</v>
      </c>
      <c r="E23" s="14">
        <f>+D23/C23%</f>
        <v>114.8936170212766</v>
      </c>
      <c r="F23" s="14">
        <v>85.261046113247318</v>
      </c>
      <c r="G23" s="17">
        <v>80000</v>
      </c>
      <c r="H23" s="17">
        <v>80000</v>
      </c>
      <c r="I23" s="14">
        <f t="shared" si="0"/>
        <v>148.14814814814815</v>
      </c>
    </row>
    <row r="24" spans="1:9" x14ac:dyDescent="0.25">
      <c r="A24" s="32" t="s">
        <v>11</v>
      </c>
      <c r="B24" s="15">
        <v>500000</v>
      </c>
      <c r="C24" s="15">
        <v>500000</v>
      </c>
      <c r="D24" s="15">
        <v>435000</v>
      </c>
      <c r="E24" s="14">
        <f>+D24/C24%</f>
        <v>87</v>
      </c>
      <c r="F24" s="14">
        <v>56.688400625887894</v>
      </c>
      <c r="G24" s="15">
        <v>620000</v>
      </c>
      <c r="H24" s="15">
        <v>620000</v>
      </c>
      <c r="I24" s="14">
        <f t="shared" si="0"/>
        <v>142.5287356321839</v>
      </c>
    </row>
    <row r="25" spans="1:9" x14ac:dyDescent="0.25">
      <c r="A25" s="32" t="s">
        <v>12</v>
      </c>
      <c r="B25" s="15">
        <v>60000</v>
      </c>
      <c r="C25" s="15">
        <v>60000</v>
      </c>
      <c r="D25" s="15">
        <f>68000+5000</f>
        <v>73000</v>
      </c>
      <c r="E25" s="14">
        <f>+D25/C25%</f>
        <v>121.66666666666667</v>
      </c>
      <c r="F25" s="14">
        <v>113.34905976489107</v>
      </c>
      <c r="G25" s="15">
        <v>44000</v>
      </c>
      <c r="H25" s="15">
        <v>44000</v>
      </c>
      <c r="I25" s="14">
        <f t="shared" si="0"/>
        <v>60.273972602739725</v>
      </c>
    </row>
    <row r="26" spans="1:9" x14ac:dyDescent="0.25">
      <c r="A26" s="32" t="s">
        <v>167</v>
      </c>
      <c r="B26" s="15">
        <v>2300</v>
      </c>
      <c r="C26" s="15">
        <v>2300</v>
      </c>
      <c r="D26" s="15">
        <v>6000</v>
      </c>
      <c r="E26" s="14">
        <f>+D26/C26%</f>
        <v>260.86956521739131</v>
      </c>
      <c r="F26" s="14">
        <v>101.2698564871107</v>
      </c>
      <c r="G26" s="15">
        <v>6000</v>
      </c>
      <c r="H26" s="15">
        <v>6000</v>
      </c>
      <c r="I26" s="14">
        <f t="shared" si="0"/>
        <v>100</v>
      </c>
    </row>
    <row r="27" spans="1:9" x14ac:dyDescent="0.25">
      <c r="A27" s="32" t="s">
        <v>168</v>
      </c>
      <c r="B27" s="16">
        <f>+B28+B29</f>
        <v>290000</v>
      </c>
      <c r="C27" s="16">
        <f>+C28+C29</f>
        <v>290000</v>
      </c>
      <c r="D27" s="16">
        <f>+D28+D29</f>
        <v>459000</v>
      </c>
      <c r="E27" s="14">
        <f>+D27/C27%</f>
        <v>158.27586206896552</v>
      </c>
      <c r="F27" s="14">
        <v>99.927478992789261</v>
      </c>
      <c r="G27" s="16">
        <f>+G28+G29</f>
        <v>290000</v>
      </c>
      <c r="H27" s="16">
        <f>+H28+H29</f>
        <v>290000</v>
      </c>
      <c r="I27" s="14">
        <f t="shared" si="0"/>
        <v>63.18082788671024</v>
      </c>
    </row>
    <row r="28" spans="1:9" s="18" customFormat="1" x14ac:dyDescent="0.25">
      <c r="A28" s="33" t="s">
        <v>13</v>
      </c>
      <c r="B28" s="17">
        <v>92000</v>
      </c>
      <c r="C28" s="17">
        <v>92000</v>
      </c>
      <c r="D28" s="17">
        <v>150000</v>
      </c>
      <c r="E28" s="34">
        <f>+D28/C28%</f>
        <v>163.04347826086956</v>
      </c>
      <c r="F28" s="34">
        <v>165.41090384267173</v>
      </c>
      <c r="G28" s="17">
        <v>100000</v>
      </c>
      <c r="H28" s="17">
        <v>100000</v>
      </c>
      <c r="I28" s="34">
        <f t="shared" si="0"/>
        <v>66.666666666666671</v>
      </c>
    </row>
    <row r="29" spans="1:9" s="18" customFormat="1" x14ac:dyDescent="0.25">
      <c r="A29" s="33" t="s">
        <v>14</v>
      </c>
      <c r="B29" s="17">
        <v>198000</v>
      </c>
      <c r="C29" s="17">
        <v>198000</v>
      </c>
      <c r="D29" s="17">
        <f>300000+9000</f>
        <v>309000</v>
      </c>
      <c r="E29" s="34">
        <f>+D29/C29%</f>
        <v>156.06060606060606</v>
      </c>
      <c r="F29" s="34">
        <v>83.81937426135363</v>
      </c>
      <c r="G29" s="17">
        <v>190000</v>
      </c>
      <c r="H29" s="17">
        <v>190000</v>
      </c>
      <c r="I29" s="34">
        <f t="shared" si="0"/>
        <v>61.488673139158578</v>
      </c>
    </row>
    <row r="30" spans="1:9" s="18" customFormat="1" hidden="1" x14ac:dyDescent="0.25">
      <c r="A30" s="33" t="s">
        <v>141</v>
      </c>
      <c r="B30" s="17"/>
      <c r="C30" s="17"/>
      <c r="D30" s="17"/>
      <c r="E30" s="34"/>
      <c r="F30" s="34"/>
      <c r="G30" s="17">
        <v>10000</v>
      </c>
      <c r="H30" s="17">
        <v>10000</v>
      </c>
      <c r="I30" s="34"/>
    </row>
    <row r="31" spans="1:9" x14ac:dyDescent="0.25">
      <c r="A31" s="32" t="s">
        <v>169</v>
      </c>
      <c r="B31" s="15">
        <v>18000</v>
      </c>
      <c r="C31" s="15">
        <v>18000</v>
      </c>
      <c r="D31" s="15">
        <v>59000</v>
      </c>
      <c r="E31" s="14">
        <f>+D31/C31%</f>
        <v>327.77777777777777</v>
      </c>
      <c r="F31" s="14">
        <v>56.672421703063144</v>
      </c>
      <c r="G31" s="15">
        <v>35000</v>
      </c>
      <c r="H31" s="15">
        <v>35000</v>
      </c>
      <c r="I31" s="14">
        <f t="shared" si="0"/>
        <v>59.322033898305087</v>
      </c>
    </row>
    <row r="32" spans="1:9" x14ac:dyDescent="0.25">
      <c r="A32" s="32" t="s">
        <v>170</v>
      </c>
      <c r="B32" s="15">
        <v>120000</v>
      </c>
      <c r="C32" s="15">
        <v>120000</v>
      </c>
      <c r="D32" s="15">
        <v>125000</v>
      </c>
      <c r="E32" s="14">
        <f>+D32/C32%</f>
        <v>104.16666666666667</v>
      </c>
      <c r="F32" s="14">
        <v>68.7929181818307</v>
      </c>
      <c r="G32" s="15">
        <v>140000</v>
      </c>
      <c r="H32" s="15">
        <v>140000</v>
      </c>
      <c r="I32" s="14">
        <f t="shared" si="0"/>
        <v>112</v>
      </c>
    </row>
    <row r="33" spans="1:10" x14ac:dyDescent="0.25">
      <c r="A33" s="32" t="s">
        <v>171</v>
      </c>
      <c r="B33" s="15">
        <v>1700000</v>
      </c>
      <c r="C33" s="15">
        <v>1700000</v>
      </c>
      <c r="D33" s="15">
        <v>1780000</v>
      </c>
      <c r="E33" s="14">
        <f>+D33/C33%</f>
        <v>104.70588235294117</v>
      </c>
      <c r="F33" s="14">
        <v>98.16131146767988</v>
      </c>
      <c r="G33" s="15">
        <v>1890000</v>
      </c>
      <c r="H33" s="15">
        <v>1890000</v>
      </c>
      <c r="I33" s="14">
        <f t="shared" si="0"/>
        <v>106.17977528089888</v>
      </c>
    </row>
    <row r="34" spans="1:10" x14ac:dyDescent="0.25">
      <c r="A34" s="35" t="s">
        <v>39</v>
      </c>
      <c r="B34" s="13">
        <f>+B35+B52</f>
        <v>18940716</v>
      </c>
      <c r="C34" s="13">
        <f t="shared" ref="C34:D34" si="1">+C35+C52</f>
        <v>18940715.899999999</v>
      </c>
      <c r="D34" s="13">
        <f t="shared" si="1"/>
        <v>19500175.899999999</v>
      </c>
      <c r="E34" s="12">
        <f>+D34/C34%</f>
        <v>102.95374263018221</v>
      </c>
      <c r="F34" s="12"/>
      <c r="G34" s="13">
        <f t="shared" ref="G34" si="2">+G35+G52</f>
        <v>19931050</v>
      </c>
      <c r="H34" s="13">
        <f>+H35+H52</f>
        <v>20652646</v>
      </c>
      <c r="I34" s="12">
        <f t="shared" si="0"/>
        <v>105.9100497652434</v>
      </c>
    </row>
    <row r="35" spans="1:10" x14ac:dyDescent="0.25">
      <c r="A35" s="36" t="s">
        <v>120</v>
      </c>
      <c r="B35" s="13">
        <f>+B37+B43+B46+B51</f>
        <v>14735822</v>
      </c>
      <c r="C35" s="13">
        <f t="shared" ref="C35:D35" si="3">+C37+C43+C46+C51</f>
        <v>14735822</v>
      </c>
      <c r="D35" s="13">
        <f t="shared" si="3"/>
        <v>15295282</v>
      </c>
      <c r="E35" s="12">
        <f>+D35/C35%</f>
        <v>103.796598520259</v>
      </c>
      <c r="F35" s="14"/>
      <c r="G35" s="13">
        <f t="shared" ref="G35" si="4">+G37+G43+G46+G51</f>
        <v>15922056</v>
      </c>
      <c r="H35" s="13">
        <f>+H37+H43+H46+H51</f>
        <v>16643652</v>
      </c>
      <c r="I35" s="12">
        <f t="shared" si="0"/>
        <v>108.81559424664415</v>
      </c>
      <c r="J35" s="24">
        <f>+H35-16643652</f>
        <v>0</v>
      </c>
    </row>
    <row r="36" spans="1:10" hidden="1" x14ac:dyDescent="0.25">
      <c r="A36" s="83" t="s">
        <v>82</v>
      </c>
      <c r="B36" s="37">
        <f>+B35-B24-B33-B51</f>
        <v>12260222</v>
      </c>
      <c r="C36" s="37">
        <f>+C35-C24-C33-C51</f>
        <v>12260222</v>
      </c>
      <c r="D36" s="37">
        <f>+D35-D24-D33-D51</f>
        <v>12979422</v>
      </c>
      <c r="E36" s="19">
        <f>+D36/C36%</f>
        <v>105.86612542578756</v>
      </c>
      <c r="F36" s="14"/>
      <c r="G36" s="37">
        <f>+G35-G24-G33-G51</f>
        <v>13329856</v>
      </c>
      <c r="H36" s="37">
        <f>+H35-H24-H33-H51</f>
        <v>14051452</v>
      </c>
      <c r="I36" s="19">
        <f t="shared" si="0"/>
        <v>108.25945870316875</v>
      </c>
    </row>
    <row r="37" spans="1:10" s="107" customFormat="1" x14ac:dyDescent="0.25">
      <c r="A37" s="30" t="s">
        <v>121</v>
      </c>
      <c r="B37" s="13">
        <f>+B10-B20-B23-B28</f>
        <v>5817000</v>
      </c>
      <c r="C37" s="13">
        <f>+C10-C20-C23-C28</f>
        <v>5817000</v>
      </c>
      <c r="D37" s="13">
        <f>+D10-D20-D23-D28</f>
        <v>6551200</v>
      </c>
      <c r="E37" s="12">
        <f>+D37/C37%</f>
        <v>112.62162626783565</v>
      </c>
      <c r="F37" s="12"/>
      <c r="G37" s="13">
        <f>+G10-G20-G23-G28</f>
        <v>6523000</v>
      </c>
      <c r="H37" s="13">
        <f>+H10-H20-H23-H28</f>
        <v>6523000</v>
      </c>
      <c r="I37" s="12">
        <f t="shared" si="0"/>
        <v>99.56954451092929</v>
      </c>
    </row>
    <row r="38" spans="1:10" s="18" customFormat="1" x14ac:dyDescent="0.25">
      <c r="A38" s="106" t="s">
        <v>122</v>
      </c>
      <c r="B38" s="41">
        <f>+B37-B24-B33</f>
        <v>3617000</v>
      </c>
      <c r="C38" s="41">
        <f>+C37-C24-C33</f>
        <v>3617000</v>
      </c>
      <c r="D38" s="41">
        <f>+D37-D24-D33</f>
        <v>4336200</v>
      </c>
      <c r="E38" s="34">
        <f>+D38/C38%</f>
        <v>119.88388166989218</v>
      </c>
      <c r="F38" s="34"/>
      <c r="G38" s="41">
        <f>+G37-G24-G33</f>
        <v>4013000</v>
      </c>
      <c r="H38" s="41">
        <f>+H37-H24-H33</f>
        <v>4013000</v>
      </c>
      <c r="I38" s="34">
        <f t="shared" si="0"/>
        <v>92.546469258798027</v>
      </c>
    </row>
    <row r="39" spans="1:10" x14ac:dyDescent="0.25">
      <c r="A39" s="38" t="s">
        <v>123</v>
      </c>
      <c r="B39" s="1">
        <v>3239000</v>
      </c>
      <c r="C39" s="1">
        <v>3239000</v>
      </c>
      <c r="D39" s="1">
        <f>+D37-D40</f>
        <v>3492000</v>
      </c>
      <c r="E39" s="14">
        <f>+D39/C39%</f>
        <v>107.81105279407224</v>
      </c>
      <c r="F39" s="14"/>
      <c r="G39" s="1">
        <f>+G37-G40</f>
        <v>3625800</v>
      </c>
      <c r="H39" s="1">
        <f>+H37-H40</f>
        <v>3625800</v>
      </c>
      <c r="I39" s="14">
        <f t="shared" si="0"/>
        <v>103.83161512027492</v>
      </c>
    </row>
    <row r="40" spans="1:10" s="21" customFormat="1" x14ac:dyDescent="0.25">
      <c r="A40" s="38" t="s">
        <v>124</v>
      </c>
      <c r="B40" s="1">
        <f>+B37-B39</f>
        <v>2578000</v>
      </c>
      <c r="C40" s="1">
        <f>+C37-C39</f>
        <v>2578000</v>
      </c>
      <c r="D40" s="1">
        <f>+D12+D13+D14+D15-6000-100000-30000+D18+D21</f>
        <v>3059200</v>
      </c>
      <c r="E40" s="14">
        <f>+D40/C40%</f>
        <v>118.66563227307991</v>
      </c>
      <c r="F40" s="20"/>
      <c r="G40" s="1">
        <v>2897200</v>
      </c>
      <c r="H40" s="1">
        <v>2897200</v>
      </c>
      <c r="I40" s="14">
        <f t="shared" si="0"/>
        <v>94.704497907949786</v>
      </c>
    </row>
    <row r="41" spans="1:10" s="43" customFormat="1" hidden="1" x14ac:dyDescent="0.25">
      <c r="A41" s="84" t="s">
        <v>81</v>
      </c>
      <c r="B41" s="41">
        <f>+B37-B24-B33</f>
        <v>3617000</v>
      </c>
      <c r="C41" s="41">
        <f>+C37-C24-C33</f>
        <v>3617000</v>
      </c>
      <c r="D41" s="41">
        <f>+D37-D24-D33</f>
        <v>4336200</v>
      </c>
      <c r="E41" s="34">
        <f>+D41/C41%</f>
        <v>119.88388166989218</v>
      </c>
      <c r="F41" s="42"/>
      <c r="G41" s="41">
        <f>+G37-G24-G33</f>
        <v>4013000</v>
      </c>
      <c r="H41" s="41">
        <f>+H37-H24-H33</f>
        <v>4013000</v>
      </c>
      <c r="I41" s="34">
        <f t="shared" si="0"/>
        <v>92.546469258798027</v>
      </c>
    </row>
    <row r="42" spans="1:10" s="43" customFormat="1" ht="47.25" hidden="1" x14ac:dyDescent="0.25">
      <c r="A42" s="114" t="s">
        <v>175</v>
      </c>
      <c r="B42" s="41"/>
      <c r="C42" s="41"/>
      <c r="D42" s="41"/>
      <c r="E42" s="34"/>
      <c r="F42" s="42"/>
      <c r="G42" s="41"/>
      <c r="H42" s="41">
        <f>194748+192150</f>
        <v>386898</v>
      </c>
      <c r="I42" s="34"/>
    </row>
    <row r="43" spans="1:10" s="107" customFormat="1" x14ac:dyDescent="0.25">
      <c r="A43" s="30" t="s">
        <v>125</v>
      </c>
      <c r="B43" s="6">
        <f>+B44+B45</f>
        <v>8643222</v>
      </c>
      <c r="C43" s="6">
        <f t="shared" ref="C43:D43" si="5">+C44+C45</f>
        <v>8643222</v>
      </c>
      <c r="D43" s="6">
        <f t="shared" si="5"/>
        <v>8643222</v>
      </c>
      <c r="E43" s="12">
        <f>+D43/C43%</f>
        <v>100</v>
      </c>
      <c r="F43" s="108"/>
      <c r="G43" s="6">
        <v>8816122</v>
      </c>
      <c r="H43" s="6">
        <v>8816122</v>
      </c>
      <c r="I43" s="12">
        <f t="shared" si="0"/>
        <v>102.00041142064846</v>
      </c>
    </row>
    <row r="44" spans="1:10" x14ac:dyDescent="0.25">
      <c r="A44" s="38" t="s">
        <v>126</v>
      </c>
      <c r="B44" s="2">
        <v>8643222</v>
      </c>
      <c r="C44" s="2">
        <v>8643222</v>
      </c>
      <c r="D44" s="22">
        <v>8643222</v>
      </c>
      <c r="E44" s="14">
        <f>+D44/C44%</f>
        <v>100</v>
      </c>
      <c r="F44" s="22"/>
      <c r="G44" s="2">
        <v>8643222</v>
      </c>
      <c r="H44" s="2">
        <v>8643222</v>
      </c>
      <c r="I44" s="14">
        <f t="shared" si="0"/>
        <v>100</v>
      </c>
    </row>
    <row r="45" spans="1:10" x14ac:dyDescent="0.25">
      <c r="A45" s="38" t="s">
        <v>127</v>
      </c>
      <c r="B45" s="2"/>
      <c r="C45" s="2"/>
      <c r="D45" s="22"/>
      <c r="E45" s="14"/>
      <c r="F45" s="22"/>
      <c r="G45" s="2">
        <v>172900</v>
      </c>
      <c r="H45" s="2">
        <v>172900</v>
      </c>
      <c r="I45" s="14"/>
    </row>
    <row r="46" spans="1:10" s="107" customFormat="1" x14ac:dyDescent="0.25">
      <c r="A46" s="30" t="s">
        <v>176</v>
      </c>
      <c r="B46" s="6">
        <f>+B47+B50</f>
        <v>0</v>
      </c>
      <c r="C46" s="6">
        <f t="shared" ref="C46:D46" si="6">+C47+C50</f>
        <v>0</v>
      </c>
      <c r="D46" s="6">
        <f t="shared" si="6"/>
        <v>0</v>
      </c>
      <c r="E46" s="12"/>
      <c r="F46" s="108"/>
      <c r="G46" s="6">
        <f t="shared" ref="G46:H46" si="7">+G47+G50</f>
        <v>500734</v>
      </c>
      <c r="H46" s="6">
        <f t="shared" si="7"/>
        <v>1222330</v>
      </c>
      <c r="I46" s="12"/>
    </row>
    <row r="47" spans="1:10" x14ac:dyDescent="0.25">
      <c r="A47" s="38" t="s">
        <v>128</v>
      </c>
      <c r="B47" s="2">
        <f>+B48+B49</f>
        <v>0</v>
      </c>
      <c r="C47" s="2">
        <f t="shared" ref="C47:D47" si="8">+C48+C49</f>
        <v>0</v>
      </c>
      <c r="D47" s="2">
        <f t="shared" si="8"/>
        <v>0</v>
      </c>
      <c r="E47" s="14"/>
      <c r="F47" s="22"/>
      <c r="G47" s="2">
        <f t="shared" ref="G47" si="9">+G48+G49</f>
        <v>0</v>
      </c>
      <c r="H47" s="2">
        <f>+H48+H49</f>
        <v>721596</v>
      </c>
      <c r="I47" s="14"/>
    </row>
    <row r="48" spans="1:10" hidden="1" x14ac:dyDescent="0.25">
      <c r="A48" s="38" t="s">
        <v>177</v>
      </c>
      <c r="B48" s="2"/>
      <c r="C48" s="2"/>
      <c r="D48" s="22"/>
      <c r="E48" s="14"/>
      <c r="F48" s="22"/>
      <c r="G48" s="2"/>
      <c r="H48" s="2">
        <v>692509</v>
      </c>
      <c r="I48" s="14"/>
    </row>
    <row r="49" spans="1:10" hidden="1" x14ac:dyDescent="0.25">
      <c r="A49" s="38" t="s">
        <v>178</v>
      </c>
      <c r="B49" s="2"/>
      <c r="C49" s="2"/>
      <c r="D49" s="22"/>
      <c r="E49" s="14"/>
      <c r="F49" s="22"/>
      <c r="G49" s="2"/>
      <c r="H49" s="2">
        <v>29087</v>
      </c>
      <c r="I49" s="14"/>
    </row>
    <row r="50" spans="1:10" x14ac:dyDescent="0.25">
      <c r="A50" s="38" t="s">
        <v>129</v>
      </c>
      <c r="B50" s="2"/>
      <c r="C50" s="2"/>
      <c r="D50" s="22"/>
      <c r="E50" s="14"/>
      <c r="F50" s="22"/>
      <c r="G50" s="2">
        <v>500734</v>
      </c>
      <c r="H50" s="2">
        <v>500734</v>
      </c>
      <c r="I50" s="14"/>
    </row>
    <row r="51" spans="1:10" s="107" customFormat="1" x14ac:dyDescent="0.25">
      <c r="A51" s="30" t="s">
        <v>130</v>
      </c>
      <c r="B51" s="6">
        <v>275600</v>
      </c>
      <c r="C51" s="6">
        <v>275600</v>
      </c>
      <c r="D51" s="39">
        <v>100860</v>
      </c>
      <c r="E51" s="12">
        <f>+D51/C51%</f>
        <v>36.596516690856312</v>
      </c>
      <c r="F51" s="4"/>
      <c r="G51" s="6">
        <v>82200</v>
      </c>
      <c r="H51" s="6">
        <v>82200</v>
      </c>
      <c r="I51" s="12">
        <f t="shared" si="0"/>
        <v>81.499107674003568</v>
      </c>
    </row>
    <row r="52" spans="1:10" x14ac:dyDescent="0.25">
      <c r="A52" s="30" t="s">
        <v>131</v>
      </c>
      <c r="B52" s="6">
        <f t="shared" ref="B52:D52" si="10">+B53+B56+B67</f>
        <v>4204894</v>
      </c>
      <c r="C52" s="6">
        <f t="shared" si="10"/>
        <v>4204893.9000000004</v>
      </c>
      <c r="D52" s="6">
        <f t="shared" si="10"/>
        <v>4204893.9000000004</v>
      </c>
      <c r="E52" s="12">
        <f>+D52/C52%</f>
        <v>100</v>
      </c>
      <c r="F52" s="4"/>
      <c r="G52" s="6">
        <f>+G53+G56+G67</f>
        <v>4008994</v>
      </c>
      <c r="H52" s="6">
        <f>+H53+H56+H67</f>
        <v>4008994</v>
      </c>
      <c r="I52" s="12">
        <f t="shared" si="0"/>
        <v>95.341145230798801</v>
      </c>
    </row>
    <row r="53" spans="1:10" s="107" customFormat="1" ht="15.75" customHeight="1" x14ac:dyDescent="0.25">
      <c r="A53" s="30" t="s">
        <v>132</v>
      </c>
      <c r="B53" s="6">
        <f>+B54+B55</f>
        <v>3512171</v>
      </c>
      <c r="C53" s="6">
        <f t="shared" ref="C53" si="11">+C54+C55</f>
        <v>3512171</v>
      </c>
      <c r="D53" s="6">
        <f t="shared" ref="D53" si="12">+D54+D55</f>
        <v>3512171</v>
      </c>
      <c r="E53" s="12">
        <f>+D53/C53%</f>
        <v>100</v>
      </c>
      <c r="F53" s="4"/>
      <c r="G53" s="6">
        <f>+G54+G55</f>
        <v>3329510</v>
      </c>
      <c r="H53" s="6">
        <f>+H54+H55</f>
        <v>3329510</v>
      </c>
      <c r="I53" s="12">
        <f t="shared" si="0"/>
        <v>94.799199697281253</v>
      </c>
      <c r="J53" s="109"/>
    </row>
    <row r="54" spans="1:10" ht="15.75" customHeight="1" x14ac:dyDescent="0.25">
      <c r="A54" s="38" t="s">
        <v>44</v>
      </c>
      <c r="B54" s="2">
        <v>578171</v>
      </c>
      <c r="C54" s="2">
        <v>578171</v>
      </c>
      <c r="D54" s="2">
        <v>578171</v>
      </c>
      <c r="E54" s="14">
        <f>+D54/C54%</f>
        <v>100</v>
      </c>
      <c r="F54" s="3"/>
      <c r="G54" s="2">
        <v>202150</v>
      </c>
      <c r="H54" s="2">
        <v>202150</v>
      </c>
      <c r="I54" s="14">
        <f t="shared" si="0"/>
        <v>34.96370450956551</v>
      </c>
    </row>
    <row r="55" spans="1:10" ht="15.75" customHeight="1" x14ac:dyDescent="0.25">
      <c r="A55" s="38" t="s">
        <v>45</v>
      </c>
      <c r="B55" s="2">
        <v>2934000</v>
      </c>
      <c r="C55" s="2">
        <v>2934000</v>
      </c>
      <c r="D55" s="111">
        <v>2934000</v>
      </c>
      <c r="E55" s="14">
        <f>+D55/C55%</f>
        <v>100</v>
      </c>
      <c r="F55" s="23"/>
      <c r="G55" s="2">
        <v>3127360</v>
      </c>
      <c r="H55" s="2">
        <v>3127360</v>
      </c>
      <c r="I55" s="14">
        <f t="shared" si="0"/>
        <v>106.59032038173143</v>
      </c>
    </row>
    <row r="56" spans="1:10" s="107" customFormat="1" ht="15.75" customHeight="1" x14ac:dyDescent="0.25">
      <c r="A56" s="30" t="s">
        <v>133</v>
      </c>
      <c r="B56" s="6">
        <f>+B57+B58</f>
        <v>81336</v>
      </c>
      <c r="C56" s="6">
        <f t="shared" ref="C56:D56" si="13">+C57+C58</f>
        <v>81336</v>
      </c>
      <c r="D56" s="6">
        <f t="shared" si="13"/>
        <v>81336</v>
      </c>
      <c r="E56" s="12">
        <f>+D56/C56%</f>
        <v>100</v>
      </c>
      <c r="F56" s="4"/>
      <c r="G56" s="6">
        <f>+G57+G58</f>
        <v>70473</v>
      </c>
      <c r="H56" s="6">
        <f>+H57+H58</f>
        <v>70473</v>
      </c>
      <c r="I56" s="12">
        <f t="shared" si="0"/>
        <v>86.644290351136021</v>
      </c>
    </row>
    <row r="57" spans="1:10" ht="15.75" customHeight="1" x14ac:dyDescent="0.25">
      <c r="A57" s="38" t="s">
        <v>44</v>
      </c>
      <c r="B57" s="2">
        <v>0</v>
      </c>
      <c r="C57" s="2">
        <v>0</v>
      </c>
      <c r="D57" s="3"/>
      <c r="E57" s="14"/>
      <c r="F57" s="3"/>
      <c r="G57" s="2">
        <v>0</v>
      </c>
      <c r="H57" s="2">
        <v>0</v>
      </c>
      <c r="I57" s="14"/>
    </row>
    <row r="58" spans="1:10" ht="15.75" customHeight="1" x14ac:dyDescent="0.25">
      <c r="A58" s="38" t="s">
        <v>45</v>
      </c>
      <c r="B58" s="2">
        <f t="shared" ref="B58:D58" si="14">SUM(B59:B66)</f>
        <v>81336</v>
      </c>
      <c r="C58" s="2">
        <f t="shared" si="14"/>
        <v>81336</v>
      </c>
      <c r="D58" s="2">
        <f t="shared" si="14"/>
        <v>81336</v>
      </c>
      <c r="E58" s="14">
        <f>+D58/C58%</f>
        <v>100</v>
      </c>
      <c r="F58" s="3"/>
      <c r="G58" s="2">
        <f>SUM(G59:G66)</f>
        <v>70473</v>
      </c>
      <c r="H58" s="2">
        <f>SUM(H59:H66)</f>
        <v>70473</v>
      </c>
      <c r="I58" s="14">
        <f t="shared" si="0"/>
        <v>86.644290351136021</v>
      </c>
    </row>
    <row r="59" spans="1:10" ht="15.75" customHeight="1" x14ac:dyDescent="0.25">
      <c r="A59" s="38" t="s">
        <v>134</v>
      </c>
      <c r="B59" s="2">
        <v>15672</v>
      </c>
      <c r="C59" s="2">
        <v>15672</v>
      </c>
      <c r="D59" s="2">
        <v>15672</v>
      </c>
      <c r="E59" s="14">
        <f>+D59/C59%</f>
        <v>100</v>
      </c>
      <c r="F59" s="3"/>
      <c r="G59" s="2">
        <v>8158</v>
      </c>
      <c r="H59" s="2">
        <v>8158</v>
      </c>
      <c r="I59" s="14">
        <f t="shared" si="0"/>
        <v>52.054619703930577</v>
      </c>
    </row>
    <row r="60" spans="1:10" ht="15.75" customHeight="1" x14ac:dyDescent="0.25">
      <c r="A60" s="38" t="s">
        <v>135</v>
      </c>
      <c r="B60" s="2">
        <v>1850</v>
      </c>
      <c r="C60" s="2">
        <v>1850</v>
      </c>
      <c r="D60" s="2">
        <v>1850</v>
      </c>
      <c r="E60" s="14">
        <f>+D60/C60%</f>
        <v>100</v>
      </c>
      <c r="F60" s="3"/>
      <c r="G60" s="2">
        <v>1890</v>
      </c>
      <c r="H60" s="2">
        <v>1890</v>
      </c>
      <c r="I60" s="14">
        <f t="shared" ref="I60:I61" si="15">+H60/D60%</f>
        <v>102.16216216216216</v>
      </c>
    </row>
    <row r="61" spans="1:10" x14ac:dyDescent="0.25">
      <c r="A61" s="38" t="s">
        <v>136</v>
      </c>
      <c r="B61" s="2">
        <v>1166</v>
      </c>
      <c r="C61" s="2">
        <v>1166</v>
      </c>
      <c r="D61" s="2">
        <v>1166</v>
      </c>
      <c r="E61" s="14">
        <f>+D61/C61%</f>
        <v>100</v>
      </c>
      <c r="F61" s="3"/>
      <c r="G61" s="2">
        <v>761</v>
      </c>
      <c r="H61" s="2">
        <v>761</v>
      </c>
      <c r="I61" s="14">
        <f t="shared" si="15"/>
        <v>65.265866209262441</v>
      </c>
    </row>
    <row r="62" spans="1:10" ht="15.75" customHeight="1" x14ac:dyDescent="0.25">
      <c r="A62" s="38" t="s">
        <v>137</v>
      </c>
      <c r="B62" s="2">
        <v>56260</v>
      </c>
      <c r="C62" s="2">
        <v>56260</v>
      </c>
      <c r="D62" s="2">
        <v>56260</v>
      </c>
      <c r="E62" s="14">
        <f>+D62/C62%</f>
        <v>100</v>
      </c>
      <c r="F62" s="3"/>
      <c r="G62" s="2">
        <v>59664</v>
      </c>
      <c r="H62" s="2">
        <v>59664</v>
      </c>
      <c r="I62" s="14">
        <f t="shared" si="0"/>
        <v>106.05047991468183</v>
      </c>
    </row>
    <row r="63" spans="1:10" ht="15.75" customHeight="1" x14ac:dyDescent="0.25">
      <c r="A63" s="38" t="s">
        <v>67</v>
      </c>
      <c r="B63" s="2">
        <v>528</v>
      </c>
      <c r="C63" s="2">
        <v>528</v>
      </c>
      <c r="D63" s="2">
        <v>528</v>
      </c>
      <c r="E63" s="14">
        <f>+D63/C63%</f>
        <v>100</v>
      </c>
      <c r="F63" s="3"/>
      <c r="G63" s="2"/>
      <c r="H63" s="2"/>
      <c r="I63" s="14">
        <f t="shared" si="0"/>
        <v>0</v>
      </c>
    </row>
    <row r="64" spans="1:10" ht="15.75" customHeight="1" x14ac:dyDescent="0.25">
      <c r="A64" s="38" t="s">
        <v>68</v>
      </c>
      <c r="B64" s="2">
        <v>160</v>
      </c>
      <c r="C64" s="2">
        <v>160</v>
      </c>
      <c r="D64" s="2">
        <v>160</v>
      </c>
      <c r="E64" s="14">
        <f>+D64/C64%</f>
        <v>100</v>
      </c>
      <c r="F64" s="3"/>
      <c r="G64" s="2"/>
      <c r="H64" s="2"/>
      <c r="I64" s="14">
        <f t="shared" si="0"/>
        <v>0</v>
      </c>
    </row>
    <row r="65" spans="1:9" ht="15.75" customHeight="1" x14ac:dyDescent="0.25">
      <c r="A65" s="38" t="s">
        <v>69</v>
      </c>
      <c r="B65" s="2">
        <v>3500</v>
      </c>
      <c r="C65" s="2">
        <v>3500</v>
      </c>
      <c r="D65" s="2">
        <v>3500</v>
      </c>
      <c r="E65" s="14">
        <f>+D65/C65%</f>
        <v>100</v>
      </c>
      <c r="F65" s="3"/>
      <c r="G65" s="2"/>
      <c r="H65" s="2"/>
      <c r="I65" s="14">
        <f t="shared" si="0"/>
        <v>0</v>
      </c>
    </row>
    <row r="66" spans="1:9" x14ac:dyDescent="0.25">
      <c r="A66" s="38" t="s">
        <v>70</v>
      </c>
      <c r="B66" s="2">
        <v>2200</v>
      </c>
      <c r="C66" s="2">
        <v>2200</v>
      </c>
      <c r="D66" s="2">
        <v>2200</v>
      </c>
      <c r="E66" s="14">
        <f>+D66/C66%</f>
        <v>100</v>
      </c>
      <c r="F66" s="3"/>
      <c r="G66" s="2"/>
      <c r="H66" s="2"/>
      <c r="I66" s="14">
        <f t="shared" si="0"/>
        <v>0</v>
      </c>
    </row>
    <row r="67" spans="1:9" s="107" customFormat="1" x14ac:dyDescent="0.25">
      <c r="A67" s="30" t="s">
        <v>138</v>
      </c>
      <c r="B67" s="6">
        <v>611387</v>
      </c>
      <c r="C67" s="6">
        <v>611386.9</v>
      </c>
      <c r="D67" s="6">
        <v>611386.9</v>
      </c>
      <c r="E67" s="12">
        <f>+D67/C67%</f>
        <v>100</v>
      </c>
      <c r="F67" s="4"/>
      <c r="G67" s="6">
        <v>609011</v>
      </c>
      <c r="H67" s="6">
        <v>609011</v>
      </c>
      <c r="I67" s="12">
        <f t="shared" si="0"/>
        <v>99.611391739011736</v>
      </c>
    </row>
    <row r="68" spans="1:9" s="107" customFormat="1" x14ac:dyDescent="0.25">
      <c r="A68" s="4" t="s">
        <v>179</v>
      </c>
      <c r="B68" s="6">
        <f>+B69+B70+B71</f>
        <v>370538</v>
      </c>
      <c r="C68" s="6">
        <f>+C69+C70+C71</f>
        <v>370538</v>
      </c>
      <c r="D68" s="6">
        <f>+D69+D70+D71</f>
        <v>370538</v>
      </c>
      <c r="E68" s="12">
        <f>+D68/C68%</f>
        <v>100</v>
      </c>
      <c r="F68" s="6"/>
      <c r="G68" s="6">
        <f>+G69+G70+G71</f>
        <v>356782</v>
      </c>
      <c r="H68" s="6">
        <f>+H69+H70+H71</f>
        <v>356782</v>
      </c>
      <c r="I68" s="4"/>
    </row>
    <row r="69" spans="1:9" x14ac:dyDescent="0.25">
      <c r="A69" s="3" t="s">
        <v>180</v>
      </c>
      <c r="B69" s="2">
        <v>115055</v>
      </c>
      <c r="C69" s="2">
        <v>115055</v>
      </c>
      <c r="D69" s="2">
        <v>115055</v>
      </c>
      <c r="E69" s="14">
        <f>+D69/C69%</f>
        <v>100</v>
      </c>
      <c r="F69" s="2"/>
      <c r="G69" s="2">
        <v>95317</v>
      </c>
      <c r="H69" s="2">
        <v>95317</v>
      </c>
      <c r="I69" s="3"/>
    </row>
    <row r="70" spans="1:9" x14ac:dyDescent="0.25">
      <c r="A70" s="3" t="s">
        <v>181</v>
      </c>
      <c r="B70" s="2">
        <v>44203</v>
      </c>
      <c r="C70" s="2">
        <v>44203</v>
      </c>
      <c r="D70" s="2">
        <v>44203</v>
      </c>
      <c r="E70" s="14">
        <f>+D70/C70%</f>
        <v>100</v>
      </c>
      <c r="F70" s="2"/>
      <c r="G70" s="2">
        <v>46640</v>
      </c>
      <c r="H70" s="2">
        <v>46640</v>
      </c>
      <c r="I70" s="3"/>
    </row>
    <row r="71" spans="1:9" x14ac:dyDescent="0.25">
      <c r="A71" s="3" t="s">
        <v>182</v>
      </c>
      <c r="B71" s="2">
        <v>211280</v>
      </c>
      <c r="C71" s="2">
        <v>211280</v>
      </c>
      <c r="D71" s="2">
        <v>211280</v>
      </c>
      <c r="E71" s="14">
        <f>+D71/C71%</f>
        <v>99.999999999999986</v>
      </c>
      <c r="F71" s="2"/>
      <c r="G71" s="2">
        <v>214825</v>
      </c>
      <c r="H71" s="2">
        <v>214825</v>
      </c>
      <c r="I71" s="3"/>
    </row>
    <row r="72" spans="1:9" s="107" customFormat="1" x14ac:dyDescent="0.25">
      <c r="A72" s="4" t="s">
        <v>183</v>
      </c>
      <c r="B72" s="6">
        <f>+B73+B74+B75</f>
        <v>240849</v>
      </c>
      <c r="C72" s="6">
        <f>+C73+C74+C75</f>
        <v>240849</v>
      </c>
      <c r="D72" s="6">
        <f>+D73+D74+D75</f>
        <v>240849</v>
      </c>
      <c r="E72" s="12">
        <f>+D72/C72%</f>
        <v>100.00000000000001</v>
      </c>
      <c r="F72" s="6"/>
      <c r="G72" s="6">
        <f>+G73+G74+G75</f>
        <v>252229</v>
      </c>
      <c r="H72" s="6">
        <f>+H73+H74+H75</f>
        <v>252229</v>
      </c>
      <c r="I72" s="4"/>
    </row>
    <row r="73" spans="1:9" x14ac:dyDescent="0.25">
      <c r="A73" s="3" t="s">
        <v>180</v>
      </c>
      <c r="B73" s="2">
        <v>129908</v>
      </c>
      <c r="C73" s="2">
        <v>129908</v>
      </c>
      <c r="D73" s="2">
        <v>129908</v>
      </c>
      <c r="E73" s="14">
        <f>+D73/C73%</f>
        <v>100</v>
      </c>
      <c r="F73" s="2"/>
      <c r="G73" s="2">
        <v>155376</v>
      </c>
      <c r="H73" s="2">
        <v>155376</v>
      </c>
      <c r="I73" s="3"/>
    </row>
    <row r="74" spans="1:9" x14ac:dyDescent="0.25">
      <c r="A74" s="3" t="s">
        <v>184</v>
      </c>
      <c r="B74" s="2">
        <v>60238</v>
      </c>
      <c r="C74" s="2">
        <v>60238</v>
      </c>
      <c r="D74" s="2">
        <v>60238</v>
      </c>
      <c r="E74" s="14">
        <f>+D74/C74%</f>
        <v>100</v>
      </c>
      <c r="F74" s="2"/>
      <c r="G74" s="2">
        <v>45064</v>
      </c>
      <c r="H74" s="2">
        <v>45064</v>
      </c>
      <c r="I74" s="3"/>
    </row>
    <row r="75" spans="1:9" x14ac:dyDescent="0.25">
      <c r="A75" s="5" t="s">
        <v>182</v>
      </c>
      <c r="B75" s="115">
        <v>50703</v>
      </c>
      <c r="C75" s="115">
        <v>50703</v>
      </c>
      <c r="D75" s="115">
        <v>50703</v>
      </c>
      <c r="E75" s="116">
        <f>+D75/C75%</f>
        <v>100</v>
      </c>
      <c r="F75" s="115"/>
      <c r="G75" s="115">
        <v>51789</v>
      </c>
      <c r="H75" s="115">
        <v>51789</v>
      </c>
      <c r="I75" s="5"/>
    </row>
  </sheetData>
  <mergeCells count="10">
    <mergeCell ref="A1:C1"/>
    <mergeCell ref="A5:A6"/>
    <mergeCell ref="B5:C5"/>
    <mergeCell ref="I5:I6"/>
    <mergeCell ref="A2:I2"/>
    <mergeCell ref="A3:I3"/>
    <mergeCell ref="G4:I4"/>
    <mergeCell ref="D5:D6"/>
    <mergeCell ref="E5:F5"/>
    <mergeCell ref="G5:H5"/>
  </mergeCells>
  <phoneticPr fontId="4" type="noConversion"/>
  <pageMargins left="0.24" right="0.16" top="0.21" bottom="0.2" header="0.2" footer="0.3"/>
  <pageSetup scale="65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0"/>
  <sheetViews>
    <sheetView zoomScale="115" zoomScaleNormal="115" workbookViewId="0">
      <pane xSplit="1" ySplit="8" topLeftCell="B60" activePane="bottomRight" state="frozen"/>
      <selection pane="topRight" activeCell="B1" sqref="B1"/>
      <selection pane="bottomLeft" activeCell="A9" sqref="A9"/>
      <selection pane="bottomRight" activeCell="B4" sqref="B1:B1048576"/>
    </sheetView>
  </sheetViews>
  <sheetFormatPr defaultColWidth="8.85546875" defaultRowHeight="15" x14ac:dyDescent="0.25"/>
  <cols>
    <col min="1" max="1" width="50.7109375" style="46" bestFit="1" customWidth="1"/>
    <col min="2" max="2" width="14.5703125" style="46" customWidth="1"/>
    <col min="3" max="3" width="12.7109375" style="46" customWidth="1"/>
    <col min="4" max="4" width="10.28515625" style="46" customWidth="1"/>
    <col min="5" max="5" width="9.140625" style="46" bestFit="1" customWidth="1"/>
    <col min="6" max="6" width="13.5703125" style="46" customWidth="1"/>
    <col min="7" max="7" width="9.5703125" style="46" customWidth="1"/>
    <col min="8" max="8" width="12.140625" style="46" customWidth="1"/>
    <col min="9" max="13" width="8.85546875" style="46"/>
    <col min="14" max="14" width="11.42578125" style="46" bestFit="1" customWidth="1"/>
    <col min="15" max="16384" width="8.85546875" style="46"/>
  </cols>
  <sheetData>
    <row r="1" spans="1:10" ht="16.5" x14ac:dyDescent="0.25">
      <c r="A1" s="136"/>
      <c r="B1" s="136"/>
      <c r="C1" s="124"/>
      <c r="D1" s="124"/>
      <c r="E1" s="124"/>
    </row>
    <row r="2" spans="1:10" ht="16.5" x14ac:dyDescent="0.25">
      <c r="A2" s="136" t="s">
        <v>142</v>
      </c>
      <c r="B2" s="136"/>
      <c r="C2" s="136"/>
      <c r="D2" s="136"/>
      <c r="E2" s="136"/>
      <c r="F2" s="136"/>
      <c r="G2" s="136"/>
      <c r="H2" s="136"/>
    </row>
    <row r="3" spans="1:10" ht="16.5" x14ac:dyDescent="0.25">
      <c r="A3" s="136" t="s">
        <v>78</v>
      </c>
      <c r="B3" s="136"/>
      <c r="C3" s="136"/>
      <c r="D3" s="136"/>
      <c r="E3" s="136"/>
      <c r="F3" s="136"/>
      <c r="G3" s="136"/>
      <c r="H3" s="136"/>
    </row>
    <row r="4" spans="1:10" x14ac:dyDescent="0.25">
      <c r="A4" s="47"/>
      <c r="B4" s="48"/>
      <c r="C4" s="49"/>
      <c r="D4" s="86"/>
      <c r="E4" s="86"/>
      <c r="F4" s="102"/>
      <c r="G4" s="141" t="s">
        <v>16</v>
      </c>
      <c r="H4" s="141"/>
    </row>
    <row r="5" spans="1:10" ht="42.75" customHeight="1" x14ac:dyDescent="0.25">
      <c r="A5" s="137" t="s">
        <v>1</v>
      </c>
      <c r="B5" s="138" t="s">
        <v>146</v>
      </c>
      <c r="C5" s="138" t="s">
        <v>75</v>
      </c>
      <c r="D5" s="140" t="s">
        <v>72</v>
      </c>
      <c r="E5" s="140"/>
      <c r="F5" s="126" t="s">
        <v>76</v>
      </c>
      <c r="G5" s="143" t="s">
        <v>143</v>
      </c>
      <c r="H5" s="144"/>
    </row>
    <row r="6" spans="1:10" s="50" customFormat="1" ht="30" customHeight="1" x14ac:dyDescent="0.25">
      <c r="A6" s="137"/>
      <c r="B6" s="139"/>
      <c r="C6" s="139"/>
      <c r="D6" s="125" t="s">
        <v>35</v>
      </c>
      <c r="E6" s="125" t="s">
        <v>37</v>
      </c>
      <c r="F6" s="127"/>
      <c r="G6" s="122" t="s">
        <v>144</v>
      </c>
      <c r="H6" s="122" t="s">
        <v>145</v>
      </c>
    </row>
    <row r="7" spans="1:10" ht="15.75" x14ac:dyDescent="0.25">
      <c r="A7" s="51">
        <v>1</v>
      </c>
      <c r="B7" s="52">
        <v>2</v>
      </c>
      <c r="C7" s="8">
        <v>3</v>
      </c>
      <c r="D7" s="8" t="s">
        <v>147</v>
      </c>
      <c r="E7" s="9">
        <v>5</v>
      </c>
      <c r="F7" s="8">
        <v>6</v>
      </c>
      <c r="G7" s="8" t="s">
        <v>148</v>
      </c>
      <c r="H7" s="8" t="s">
        <v>160</v>
      </c>
    </row>
    <row r="8" spans="1:10" x14ac:dyDescent="0.25">
      <c r="A8" s="53" t="s">
        <v>79</v>
      </c>
      <c r="B8" s="54">
        <f>+B9+B49</f>
        <v>18940715.600000001</v>
      </c>
      <c r="C8" s="54">
        <f>+C9+C49</f>
        <v>18377211</v>
      </c>
      <c r="D8" s="55">
        <f>+C8/(B8)%</f>
        <v>97.024903325194316</v>
      </c>
      <c r="E8" s="55">
        <v>119.93222388000757</v>
      </c>
      <c r="F8" s="54">
        <f>+F9+F49</f>
        <v>20652645.899999999</v>
      </c>
      <c r="G8" s="55">
        <f>+F8/B8%</f>
        <v>109.03836125389051</v>
      </c>
      <c r="H8" s="54">
        <f>+F8-B8</f>
        <v>1711930.299999997</v>
      </c>
    </row>
    <row r="9" spans="1:10" s="59" customFormat="1" ht="14.25" x14ac:dyDescent="0.2">
      <c r="A9" s="56" t="s">
        <v>46</v>
      </c>
      <c r="B9" s="57">
        <f>+B10+B15+B45+B46+B47+B48</f>
        <v>14735821.6</v>
      </c>
      <c r="C9" s="57">
        <f>+C10+C15+C45+C46+C47+C48</f>
        <v>14651715</v>
      </c>
      <c r="D9" s="58">
        <f>+C9/B9%</f>
        <v>99.429237118342968</v>
      </c>
      <c r="E9" s="58">
        <v>104.43770974798262</v>
      </c>
      <c r="F9" s="57">
        <f>+F10+F15+F45+F46+F47+F48</f>
        <v>16643651.899999999</v>
      </c>
      <c r="G9" s="58">
        <f>+F9/B9%</f>
        <v>112.94688787491836</v>
      </c>
      <c r="H9" s="57">
        <f>+F9-B9</f>
        <v>1907830.2999999989</v>
      </c>
    </row>
    <row r="10" spans="1:10" s="59" customFormat="1" ht="14.25" x14ac:dyDescent="0.2">
      <c r="A10" s="60" t="s">
        <v>17</v>
      </c>
      <c r="B10" s="61">
        <f>+B11+B12+B13+B14</f>
        <v>3765576</v>
      </c>
      <c r="C10" s="62">
        <f>+C11+C12+C13+C14</f>
        <v>3416337</v>
      </c>
      <c r="D10" s="58">
        <f>+C10/B10%</f>
        <v>90.725482635325903</v>
      </c>
      <c r="E10" s="58">
        <v>98.173142408855412</v>
      </c>
      <c r="F10" s="62">
        <f>+F11+F12+F13+F14</f>
        <v>3973874</v>
      </c>
      <c r="G10" s="58">
        <f>+F10/B10%</f>
        <v>105.5316371253694</v>
      </c>
      <c r="H10" s="61">
        <f>+F10-B10</f>
        <v>208298</v>
      </c>
    </row>
    <row r="11" spans="1:10" x14ac:dyDescent="0.25">
      <c r="A11" s="63" t="s">
        <v>47</v>
      </c>
      <c r="B11" s="64">
        <v>1289976</v>
      </c>
      <c r="C11" s="65">
        <v>1225477</v>
      </c>
      <c r="D11" s="66">
        <f>+C11/B11%</f>
        <v>94.999984495835577</v>
      </c>
      <c r="E11" s="66">
        <v>106.7182836974421</v>
      </c>
      <c r="F11" s="65">
        <v>1381674</v>
      </c>
      <c r="G11" s="66">
        <f>+F11/B11%</f>
        <v>107.10850434426686</v>
      </c>
      <c r="H11" s="64">
        <f>+F11-B11</f>
        <v>91698</v>
      </c>
    </row>
    <row r="12" spans="1:10" x14ac:dyDescent="0.25">
      <c r="A12" s="63" t="s">
        <v>48</v>
      </c>
      <c r="B12" s="64">
        <v>500000</v>
      </c>
      <c r="C12" s="65">
        <v>475000</v>
      </c>
      <c r="D12" s="66">
        <f>+C12/B12%</f>
        <v>95</v>
      </c>
      <c r="E12" s="66">
        <v>77.922631849194275</v>
      </c>
      <c r="F12" s="65">
        <v>620000</v>
      </c>
      <c r="G12" s="66">
        <f>+F12/B12%</f>
        <v>124</v>
      </c>
      <c r="H12" s="64">
        <f>+F12-B12</f>
        <v>120000</v>
      </c>
    </row>
    <row r="13" spans="1:10" x14ac:dyDescent="0.25">
      <c r="A13" s="63" t="s">
        <v>49</v>
      </c>
      <c r="B13" s="64">
        <v>1700000</v>
      </c>
      <c r="C13" s="65">
        <v>1615000</v>
      </c>
      <c r="D13" s="66">
        <f>+C13/B13%</f>
        <v>95</v>
      </c>
      <c r="E13" s="66">
        <v>98.157614994836848</v>
      </c>
      <c r="F13" s="65">
        <v>1890000</v>
      </c>
      <c r="G13" s="66">
        <f>+F13/B13%</f>
        <v>111.17647058823529</v>
      </c>
      <c r="H13" s="64">
        <f>+F13-B13</f>
        <v>190000</v>
      </c>
    </row>
    <row r="14" spans="1:10" x14ac:dyDescent="0.25">
      <c r="A14" s="63" t="s">
        <v>50</v>
      </c>
      <c r="B14" s="64">
        <v>275600</v>
      </c>
      <c r="C14" s="65">
        <v>100860</v>
      </c>
      <c r="D14" s="66">
        <f>+C14/B14%</f>
        <v>36.596516690856312</v>
      </c>
      <c r="E14" s="66">
        <v>131.51820991276455</v>
      </c>
      <c r="F14" s="65">
        <v>82200</v>
      </c>
      <c r="G14" s="66">
        <f>+F14/B14%</f>
        <v>29.825834542815674</v>
      </c>
      <c r="H14" s="64">
        <f>+F14-B14</f>
        <v>-193400</v>
      </c>
    </row>
    <row r="15" spans="1:10" s="59" customFormat="1" ht="14.25" x14ac:dyDescent="0.2">
      <c r="A15" s="67" t="s">
        <v>18</v>
      </c>
      <c r="B15" s="61">
        <f>+B16+B27+B36+B41+B42+B43+B44</f>
        <v>10679871.6</v>
      </c>
      <c r="C15" s="61">
        <f>+C16+C27+C36+C41+C42+C43+C44</f>
        <v>11214208</v>
      </c>
      <c r="D15" s="58">
        <f>+C15/B15%</f>
        <v>105.00320996368534</v>
      </c>
      <c r="E15" s="58">
        <v>106.64431615702952</v>
      </c>
      <c r="F15" s="61">
        <f>+F16+F27+F36+F41+F42+F43+F44</f>
        <v>11715222.899999999</v>
      </c>
      <c r="G15" s="58">
        <f>+F15/B15%</f>
        <v>109.69441711265516</v>
      </c>
      <c r="H15" s="61">
        <f>+F15-B15</f>
        <v>1035351.2999999989</v>
      </c>
    </row>
    <row r="16" spans="1:10" s="59" customFormat="1" ht="14.25" x14ac:dyDescent="0.2">
      <c r="A16" s="68" t="s">
        <v>29</v>
      </c>
      <c r="B16" s="61">
        <f>SUM(B18:B26)</f>
        <v>1288594.7</v>
      </c>
      <c r="C16" s="61">
        <f>SUM(C18:C26)</f>
        <v>1284075</v>
      </c>
      <c r="D16" s="58">
        <f>+C16/B16%</f>
        <v>99.64925356281536</v>
      </c>
      <c r="E16" s="58">
        <v>112.15957015570041</v>
      </c>
      <c r="F16" s="61">
        <f>SUM(F18:F26)</f>
        <v>1248445</v>
      </c>
      <c r="G16" s="58">
        <f>+F16/B16%</f>
        <v>96.884225893525709</v>
      </c>
      <c r="H16" s="61">
        <f>+F16-B16</f>
        <v>-40149.699999999953</v>
      </c>
      <c r="I16" s="59" t="e">
        <f>+#REF!+#REF!+#REF!+#REF!+#REF!</f>
        <v>#REF!</v>
      </c>
      <c r="J16" s="59" t="e">
        <f>+#REF!/I16%</f>
        <v>#REF!</v>
      </c>
    </row>
    <row r="17" spans="1:10" hidden="1" x14ac:dyDescent="0.25">
      <c r="A17" s="69" t="s">
        <v>19</v>
      </c>
      <c r="B17" s="64">
        <f>129755+10070+235969.3</f>
        <v>375794.3</v>
      </c>
      <c r="C17" s="64">
        <v>380000</v>
      </c>
      <c r="D17" s="66">
        <f>+C17/B17%</f>
        <v>101.11914949215569</v>
      </c>
      <c r="E17" s="66">
        <v>72.15071724334986</v>
      </c>
      <c r="F17" s="64">
        <v>364045</v>
      </c>
      <c r="G17" s="66">
        <f>+F17/B17%</f>
        <v>96.873475728610046</v>
      </c>
      <c r="H17" s="64">
        <f>+F17-B17</f>
        <v>-11749.299999999988</v>
      </c>
    </row>
    <row r="18" spans="1:10" x14ac:dyDescent="0.25">
      <c r="A18" s="69" t="s">
        <v>112</v>
      </c>
      <c r="B18" s="64">
        <v>129755</v>
      </c>
      <c r="C18" s="64">
        <v>131200</v>
      </c>
      <c r="D18" s="66">
        <f>+C18/B18%</f>
        <v>101.11363723941274</v>
      </c>
      <c r="E18" s="66">
        <v>77.292398535173419</v>
      </c>
      <c r="F18" s="64">
        <v>120495</v>
      </c>
      <c r="G18" s="66">
        <f>+F18/B18%</f>
        <v>92.86347346923047</v>
      </c>
      <c r="H18" s="64">
        <f>+F18-B18</f>
        <v>-9260</v>
      </c>
    </row>
    <row r="19" spans="1:10" x14ac:dyDescent="0.25">
      <c r="A19" s="69" t="s">
        <v>113</v>
      </c>
      <c r="B19" s="64">
        <v>10070</v>
      </c>
      <c r="C19" s="64">
        <v>10200</v>
      </c>
      <c r="D19" s="66">
        <f>+C19/B19%</f>
        <v>101.29096325719959</v>
      </c>
      <c r="E19" s="66">
        <v>76.174503931575757</v>
      </c>
      <c r="F19" s="64">
        <v>13491</v>
      </c>
      <c r="G19" s="66">
        <f>+F19/B19%</f>
        <v>133.97219463753723</v>
      </c>
      <c r="H19" s="64">
        <f>+F19-B19</f>
        <v>3421</v>
      </c>
    </row>
    <row r="20" spans="1:10" x14ac:dyDescent="0.25">
      <c r="A20" s="69" t="s">
        <v>114</v>
      </c>
      <c r="B20" s="64">
        <v>235969.3</v>
      </c>
      <c r="C20" s="64">
        <v>238600</v>
      </c>
      <c r="D20" s="66">
        <f>+C20/B20%</f>
        <v>101.1148484146031</v>
      </c>
      <c r="E20" s="66">
        <v>69.453346755685942</v>
      </c>
      <c r="F20" s="64">
        <v>230059</v>
      </c>
      <c r="G20" s="66">
        <f>+F20/B20%</f>
        <v>97.495309771228719</v>
      </c>
      <c r="H20" s="64">
        <f>+F20-B20</f>
        <v>-5910.2999999999884</v>
      </c>
    </row>
    <row r="21" spans="1:10" x14ac:dyDescent="0.25">
      <c r="A21" s="69" t="s">
        <v>115</v>
      </c>
      <c r="B21" s="64">
        <v>24624</v>
      </c>
      <c r="C21" s="64">
        <v>25000</v>
      </c>
      <c r="D21" s="66">
        <f>+C21/B21%</f>
        <v>101.52696556205328</v>
      </c>
      <c r="E21" s="66">
        <v>125.53792676768067</v>
      </c>
      <c r="F21" s="64">
        <v>4400</v>
      </c>
      <c r="G21" s="66">
        <f>+F21/B21%</f>
        <v>17.868745938921379</v>
      </c>
      <c r="H21" s="64">
        <f>+F21-B21</f>
        <v>-20224</v>
      </c>
      <c r="J21" s="46" t="e">
        <f>+#REF!*$J$16%</f>
        <v>#REF!</v>
      </c>
    </row>
    <row r="22" spans="1:10" x14ac:dyDescent="0.25">
      <c r="A22" s="69" t="s">
        <v>20</v>
      </c>
      <c r="B22" s="64">
        <v>73530.399999999994</v>
      </c>
      <c r="C22" s="64">
        <v>100000</v>
      </c>
      <c r="D22" s="66">
        <f>+C22/B22%</f>
        <v>135.99817218456585</v>
      </c>
      <c r="E22" s="66">
        <v>55.126039791497007</v>
      </c>
      <c r="F22" s="64">
        <v>73530</v>
      </c>
      <c r="G22" s="66">
        <f>+F22/B22%</f>
        <v>99.999456007311267</v>
      </c>
      <c r="H22" s="64">
        <f>+F22-B22</f>
        <v>-0.39999999999417923</v>
      </c>
    </row>
    <row r="23" spans="1:10" x14ac:dyDescent="0.25">
      <c r="A23" s="69" t="s">
        <v>116</v>
      </c>
      <c r="B23" s="64">
        <v>306100</v>
      </c>
      <c r="C23" s="64">
        <v>307000</v>
      </c>
      <c r="D23" s="66">
        <f>+C23/B23%</f>
        <v>100.29402156158119</v>
      </c>
      <c r="E23" s="66">
        <v>236.08501649572062</v>
      </c>
      <c r="F23" s="64">
        <v>283500</v>
      </c>
      <c r="G23" s="66">
        <f>+F23/B23%</f>
        <v>92.61679189807252</v>
      </c>
      <c r="H23" s="64">
        <f>+F23-B23</f>
        <v>-22600</v>
      </c>
      <c r="J23" s="46" t="e">
        <f>+#REF!*$J$16%</f>
        <v>#REF!</v>
      </c>
    </row>
    <row r="24" spans="1:10" x14ac:dyDescent="0.25">
      <c r="A24" s="69" t="s">
        <v>117</v>
      </c>
      <c r="B24" s="64">
        <v>240075</v>
      </c>
      <c r="C24" s="64">
        <v>240075</v>
      </c>
      <c r="D24" s="66">
        <f>+C24/B24%</f>
        <v>100</v>
      </c>
      <c r="E24" s="66">
        <v>153.54292747101485</v>
      </c>
      <c r="F24" s="64">
        <v>225067</v>
      </c>
      <c r="G24" s="66">
        <f>+F24/B24%</f>
        <v>93.748620222847023</v>
      </c>
      <c r="H24" s="64">
        <f>+F24-B24</f>
        <v>-15008</v>
      </c>
      <c r="J24" s="46" t="e">
        <f>+#REF!*$J$16%</f>
        <v>#REF!</v>
      </c>
    </row>
    <row r="25" spans="1:10" x14ac:dyDescent="0.25">
      <c r="A25" s="69" t="s">
        <v>118</v>
      </c>
      <c r="B25" s="64">
        <v>33102</v>
      </c>
      <c r="C25" s="64">
        <v>33000</v>
      </c>
      <c r="D25" s="66">
        <f>+C25/B25%</f>
        <v>99.691861518941465</v>
      </c>
      <c r="E25" s="66">
        <v>188.27022652783009</v>
      </c>
      <c r="F25" s="64">
        <v>39406</v>
      </c>
      <c r="G25" s="66">
        <f>+F25/B25%</f>
        <v>119.0441665156184</v>
      </c>
      <c r="H25" s="64">
        <f>+F25-B25</f>
        <v>6304</v>
      </c>
      <c r="J25" s="46" t="e">
        <f>+#REF!*$J$16%</f>
        <v>#REF!</v>
      </c>
    </row>
    <row r="26" spans="1:10" x14ac:dyDescent="0.25">
      <c r="A26" s="69" t="s">
        <v>38</v>
      </c>
      <c r="B26" s="64">
        <v>235369</v>
      </c>
      <c r="C26" s="64">
        <f>144925+11000+9000+3000+62075-20000-11000</f>
        <v>199000</v>
      </c>
      <c r="D26" s="66">
        <f>+C26/B26%</f>
        <v>84.548092569539747</v>
      </c>
      <c r="E26" s="66">
        <v>176.18490057276276</v>
      </c>
      <c r="F26" s="64">
        <v>258497</v>
      </c>
      <c r="G26" s="66">
        <f>+F26/B26%</f>
        <v>109.826272788685</v>
      </c>
      <c r="H26" s="64">
        <f>+F26-B26</f>
        <v>23128</v>
      </c>
      <c r="J26" s="46" t="e">
        <f>+#REF!*$J$16%</f>
        <v>#REF!</v>
      </c>
    </row>
    <row r="27" spans="1:10" x14ac:dyDescent="0.25">
      <c r="A27" s="68" t="s">
        <v>30</v>
      </c>
      <c r="B27" s="61">
        <f t="shared" ref="B27" si="0">+B28+B29+B30+B31+B32+B33+B34+B35</f>
        <v>6676343.2999999998</v>
      </c>
      <c r="C27" s="61">
        <f t="shared" ref="C27" si="1">+C28+C29+C30+C31+C32+C33+C34+C35</f>
        <v>6993000</v>
      </c>
      <c r="D27" s="58">
        <f>+C27/B27%</f>
        <v>104.74296610840847</v>
      </c>
      <c r="E27" s="58">
        <v>106.95043288359766</v>
      </c>
      <c r="F27" s="61">
        <f t="shared" ref="F27" si="2">+F28+F29+F30+F31+F32+F33+F34+F35</f>
        <v>7472802.8999999994</v>
      </c>
      <c r="G27" s="58">
        <f>+F27/B27%</f>
        <v>111.92957827677913</v>
      </c>
      <c r="H27" s="61">
        <f>+F27-B27</f>
        <v>796459.59999999963</v>
      </c>
    </row>
    <row r="28" spans="1:10" x14ac:dyDescent="0.25">
      <c r="A28" s="69" t="s">
        <v>21</v>
      </c>
      <c r="B28" s="64">
        <v>4531552</v>
      </c>
      <c r="C28" s="64">
        <f>4650000+16000+30000</f>
        <v>4696000</v>
      </c>
      <c r="D28" s="66">
        <f>+C28/B28%</f>
        <v>103.62895537776021</v>
      </c>
      <c r="E28" s="66">
        <v>114.44773319824725</v>
      </c>
      <c r="F28" s="64">
        <v>5178805.5999999996</v>
      </c>
      <c r="G28" s="66">
        <f>+F28/B28%</f>
        <v>114.28326542429613</v>
      </c>
      <c r="H28" s="64">
        <f>+F28-B28</f>
        <v>647253.59999999963</v>
      </c>
    </row>
    <row r="29" spans="1:10" x14ac:dyDescent="0.25">
      <c r="A29" s="70" t="s">
        <v>22</v>
      </c>
      <c r="B29" s="64">
        <v>970883</v>
      </c>
      <c r="C29" s="64">
        <f>997000+4000</f>
        <v>1001000</v>
      </c>
      <c r="D29" s="66">
        <f>+C29/B29%</f>
        <v>103.10202156181538</v>
      </c>
      <c r="E29" s="66">
        <v>105.72902770862599</v>
      </c>
      <c r="F29" s="64">
        <v>1025796</v>
      </c>
      <c r="G29" s="66">
        <f>+F29/B29%</f>
        <v>105.65598532469927</v>
      </c>
      <c r="H29" s="64">
        <f>+F29-B29</f>
        <v>54913</v>
      </c>
    </row>
    <row r="30" spans="1:10" x14ac:dyDescent="0.25">
      <c r="A30" s="69" t="s">
        <v>51</v>
      </c>
      <c r="B30" s="64">
        <v>35067</v>
      </c>
      <c r="C30" s="64">
        <v>35000</v>
      </c>
      <c r="D30" s="66">
        <f>+C30/B30%</f>
        <v>99.808937177403251</v>
      </c>
      <c r="E30" s="66">
        <v>149.91207870743921</v>
      </c>
      <c r="F30" s="64">
        <v>37983</v>
      </c>
      <c r="G30" s="66">
        <f>+F30/B30%</f>
        <v>108.31551030883736</v>
      </c>
      <c r="H30" s="64">
        <f>+F30-B30</f>
        <v>2916</v>
      </c>
    </row>
    <row r="31" spans="1:10" x14ac:dyDescent="0.25">
      <c r="A31" s="69" t="s">
        <v>52</v>
      </c>
      <c r="B31" s="64">
        <v>118858</v>
      </c>
      <c r="C31" s="64">
        <v>120000</v>
      </c>
      <c r="D31" s="66">
        <f>+C31/B31%</f>
        <v>100.96081037877131</v>
      </c>
      <c r="E31" s="66">
        <v>86.391468324154204</v>
      </c>
      <c r="F31" s="64">
        <v>130923.3</v>
      </c>
      <c r="G31" s="66">
        <f>+F31/B31%</f>
        <v>110.15102054552491</v>
      </c>
      <c r="H31" s="64">
        <f>+F31-B31</f>
        <v>12065.300000000003</v>
      </c>
    </row>
    <row r="32" spans="1:10" x14ac:dyDescent="0.25">
      <c r="A32" s="69" t="s">
        <v>53</v>
      </c>
      <c r="B32" s="64">
        <v>30910</v>
      </c>
      <c r="C32" s="64">
        <v>31000</v>
      </c>
      <c r="D32" s="66">
        <f>+C32/B32%</f>
        <v>100.29116790682626</v>
      </c>
      <c r="E32" s="66">
        <v>84.156915074623697</v>
      </c>
      <c r="F32" s="64">
        <v>35160</v>
      </c>
      <c r="G32" s="66">
        <f>+F32/B32%</f>
        <v>113.7495956001294</v>
      </c>
      <c r="H32" s="64">
        <f>+F32-B32</f>
        <v>4250</v>
      </c>
    </row>
    <row r="33" spans="1:8" x14ac:dyDescent="0.25">
      <c r="A33" s="69" t="s">
        <v>23</v>
      </c>
      <c r="B33" s="64">
        <v>128327</v>
      </c>
      <c r="C33" s="64">
        <v>130000</v>
      </c>
      <c r="D33" s="66">
        <f>+C33/B33%</f>
        <v>101.30370070211258</v>
      </c>
      <c r="E33" s="66">
        <v>104.56458939001934</v>
      </c>
      <c r="F33" s="64">
        <v>130169</v>
      </c>
      <c r="G33" s="66">
        <f>+F33/B33%</f>
        <v>101.43539551302531</v>
      </c>
      <c r="H33" s="64">
        <f>+F33-B33</f>
        <v>1842</v>
      </c>
    </row>
    <row r="34" spans="1:8" x14ac:dyDescent="0.25">
      <c r="A34" s="69" t="s">
        <v>24</v>
      </c>
      <c r="B34" s="64">
        <v>847746.3</v>
      </c>
      <c r="C34" s="64">
        <v>980000</v>
      </c>
      <c r="D34" s="66">
        <f>+C34/B34%</f>
        <v>115.60062249755617</v>
      </c>
      <c r="E34" s="66">
        <v>84.106498700518969</v>
      </c>
      <c r="F34" s="64">
        <v>847832</v>
      </c>
      <c r="G34" s="66">
        <f>+F34/B34%</f>
        <v>100.0101091564776</v>
      </c>
      <c r="H34" s="64">
        <f>+F34-B34</f>
        <v>85.699999999953434</v>
      </c>
    </row>
    <row r="35" spans="1:8" x14ac:dyDescent="0.25">
      <c r="A35" s="69" t="s">
        <v>25</v>
      </c>
      <c r="B35" s="64">
        <v>13000</v>
      </c>
      <c r="C35" s="64"/>
      <c r="D35" s="66">
        <f>+C35/B35%</f>
        <v>0</v>
      </c>
      <c r="E35" s="66"/>
      <c r="F35" s="64">
        <v>86134</v>
      </c>
      <c r="G35" s="66">
        <f>+F35/B35%</f>
        <v>662.56923076923078</v>
      </c>
      <c r="H35" s="64">
        <f>+F35-B35</f>
        <v>73134</v>
      </c>
    </row>
    <row r="36" spans="1:8" x14ac:dyDescent="0.25">
      <c r="A36" s="68" t="s">
        <v>31</v>
      </c>
      <c r="B36" s="61">
        <v>1732132.4</v>
      </c>
      <c r="C36" s="61">
        <f>1750000+106000</f>
        <v>1856000</v>
      </c>
      <c r="D36" s="58">
        <f>+C36/B36%</f>
        <v>107.15116234763578</v>
      </c>
      <c r="E36" s="58">
        <v>103.0900313760398</v>
      </c>
      <c r="F36" s="61">
        <f>SUM(F37:F40)</f>
        <v>1806997</v>
      </c>
      <c r="G36" s="58">
        <f>+F36/B36%</f>
        <v>104.32210609304461</v>
      </c>
      <c r="H36" s="61">
        <f>+F36-B36</f>
        <v>74864.600000000093</v>
      </c>
    </row>
    <row r="37" spans="1:8" x14ac:dyDescent="0.25">
      <c r="A37" s="69" t="s">
        <v>54</v>
      </c>
      <c r="B37" s="64">
        <v>960928</v>
      </c>
      <c r="C37" s="64">
        <f>971000+20000+49000</f>
        <v>1040000</v>
      </c>
      <c r="D37" s="66">
        <f>+C37/B37%</f>
        <v>108.22871224482999</v>
      </c>
      <c r="E37" s="66">
        <v>108.55872619271247</v>
      </c>
      <c r="F37" s="64">
        <v>1038449</v>
      </c>
      <c r="G37" s="66">
        <f>+F37/B37%</f>
        <v>108.06730577108794</v>
      </c>
      <c r="H37" s="64">
        <f>+F37-B37</f>
        <v>77521</v>
      </c>
    </row>
    <row r="38" spans="1:8" x14ac:dyDescent="0.25">
      <c r="A38" s="69" t="s">
        <v>55</v>
      </c>
      <c r="B38" s="64">
        <v>276515</v>
      </c>
      <c r="C38" s="64">
        <f>279000+10000+11000</f>
        <v>300000</v>
      </c>
      <c r="D38" s="66">
        <f>+C38/B38%</f>
        <v>108.49321013326582</v>
      </c>
      <c r="E38" s="66">
        <v>97.523787793935043</v>
      </c>
      <c r="F38" s="64">
        <v>267181</v>
      </c>
      <c r="G38" s="66">
        <f>+F38/B38%</f>
        <v>96.624414588720313</v>
      </c>
      <c r="H38" s="64">
        <f>+F38-B38</f>
        <v>-9334</v>
      </c>
    </row>
    <row r="39" spans="1:8" x14ac:dyDescent="0.25">
      <c r="A39" s="69" t="s">
        <v>56</v>
      </c>
      <c r="B39" s="64">
        <v>330022</v>
      </c>
      <c r="C39" s="64">
        <f>334000+5000+11000</f>
        <v>350000</v>
      </c>
      <c r="D39" s="66">
        <f>+C39/B39%</f>
        <v>106.05353582488441</v>
      </c>
      <c r="E39" s="66">
        <v>101.88138252804423</v>
      </c>
      <c r="F39" s="64">
        <v>374636</v>
      </c>
      <c r="G39" s="66">
        <f>+F39/B39%</f>
        <v>113.51849270654684</v>
      </c>
      <c r="H39" s="64">
        <f>+F39-B39</f>
        <v>44614</v>
      </c>
    </row>
    <row r="40" spans="1:8" x14ac:dyDescent="0.25">
      <c r="A40" s="69" t="s">
        <v>57</v>
      </c>
      <c r="B40" s="64">
        <v>164667</v>
      </c>
      <c r="C40" s="64">
        <v>166000</v>
      </c>
      <c r="D40" s="66">
        <f>+C40/B40%</f>
        <v>100.80951253135115</v>
      </c>
      <c r="E40" s="66">
        <v>86.816802120948068</v>
      </c>
      <c r="F40" s="64">
        <v>126731</v>
      </c>
      <c r="G40" s="66">
        <f>+F40/B40%</f>
        <v>76.961989955485919</v>
      </c>
      <c r="H40" s="64">
        <f>+F40-B40</f>
        <v>-37936</v>
      </c>
    </row>
    <row r="41" spans="1:8" x14ac:dyDescent="0.25">
      <c r="A41" s="68" t="s">
        <v>32</v>
      </c>
      <c r="B41" s="61">
        <v>392029.2</v>
      </c>
      <c r="C41" s="61">
        <v>479000</v>
      </c>
      <c r="D41" s="58">
        <f>+C41/B41%</f>
        <v>122.18477603198946</v>
      </c>
      <c r="E41" s="58">
        <v>90.940008268174424</v>
      </c>
      <c r="F41" s="61">
        <v>418299</v>
      </c>
      <c r="G41" s="58">
        <f>+F41/B41%</f>
        <v>106.70098043717152</v>
      </c>
      <c r="H41" s="61">
        <f>+F41-B41</f>
        <v>26269.799999999988</v>
      </c>
    </row>
    <row r="42" spans="1:8" x14ac:dyDescent="0.25">
      <c r="A42" s="68" t="s">
        <v>33</v>
      </c>
      <c r="B42" s="61">
        <v>211796</v>
      </c>
      <c r="C42" s="61">
        <v>220000</v>
      </c>
      <c r="D42" s="58">
        <f>+C42/B42%</f>
        <v>103.87353868817164</v>
      </c>
      <c r="E42" s="58">
        <v>89.208429518605442</v>
      </c>
      <c r="F42" s="61">
        <v>210957</v>
      </c>
      <c r="G42" s="58">
        <f>+F42/B42%</f>
        <v>99.603864095639196</v>
      </c>
      <c r="H42" s="61">
        <f>+F42-B42</f>
        <v>-839</v>
      </c>
    </row>
    <row r="43" spans="1:8" x14ac:dyDescent="0.25">
      <c r="A43" s="68" t="s">
        <v>58</v>
      </c>
      <c r="B43" s="61">
        <f>378976-69718</f>
        <v>309258</v>
      </c>
      <c r="C43" s="71">
        <v>312415</v>
      </c>
      <c r="D43" s="58">
        <f>+C43/B43%</f>
        <v>101.02083050398049</v>
      </c>
      <c r="E43" s="58">
        <v>120.89726680308803</v>
      </c>
      <c r="F43" s="71">
        <v>485809</v>
      </c>
      <c r="G43" s="58">
        <f>+F43/B43%</f>
        <v>157.08857976188168</v>
      </c>
      <c r="H43" s="61">
        <f>+F43-B43</f>
        <v>176551</v>
      </c>
    </row>
    <row r="44" spans="1:8" x14ac:dyDescent="0.25">
      <c r="A44" s="68" t="s">
        <v>149</v>
      </c>
      <c r="B44" s="61">
        <v>69718</v>
      </c>
      <c r="C44" s="61">
        <v>69718</v>
      </c>
      <c r="D44" s="58">
        <f>+C44/B44%</f>
        <v>100.00000000000001</v>
      </c>
      <c r="E44" s="58"/>
      <c r="F44" s="71">
        <v>71913</v>
      </c>
      <c r="G44" s="58">
        <f>+F44/B44%</f>
        <v>103.1483978312631</v>
      </c>
      <c r="H44" s="61">
        <f>+F44-B44</f>
        <v>2195</v>
      </c>
    </row>
    <row r="45" spans="1:8" ht="29.25" x14ac:dyDescent="0.25">
      <c r="A45" s="113" t="s">
        <v>172</v>
      </c>
      <c r="B45" s="61"/>
      <c r="C45" s="71"/>
      <c r="D45" s="58"/>
      <c r="E45" s="58"/>
      <c r="F45" s="71">
        <v>11500</v>
      </c>
      <c r="G45" s="58"/>
      <c r="H45" s="61">
        <f>+F45-B45</f>
        <v>11500</v>
      </c>
    </row>
    <row r="46" spans="1:8" x14ac:dyDescent="0.25">
      <c r="A46" s="68" t="s">
        <v>80</v>
      </c>
      <c r="B46" s="61">
        <v>1170</v>
      </c>
      <c r="C46" s="73">
        <f>1170+20000</f>
        <v>21170</v>
      </c>
      <c r="D46" s="58">
        <f>+C46/B46%</f>
        <v>1809.4017094017095</v>
      </c>
      <c r="E46" s="58">
        <v>62.802218991960608</v>
      </c>
      <c r="F46" s="73">
        <v>1170</v>
      </c>
      <c r="G46" s="58">
        <f>+F46/B46%</f>
        <v>100</v>
      </c>
      <c r="H46" s="61">
        <f>+F46-B46</f>
        <v>0</v>
      </c>
    </row>
    <row r="47" spans="1:8" x14ac:dyDescent="0.25">
      <c r="A47" s="74" t="s">
        <v>34</v>
      </c>
      <c r="B47" s="61">
        <v>289204</v>
      </c>
      <c r="C47" s="73">
        <v>0</v>
      </c>
      <c r="D47" s="58">
        <f>+C47/B47%</f>
        <v>0</v>
      </c>
      <c r="E47" s="58"/>
      <c r="F47" s="73">
        <v>316797</v>
      </c>
      <c r="G47" s="58">
        <f>+F47/B47%</f>
        <v>109.54101603020705</v>
      </c>
      <c r="H47" s="61">
        <f>+F47-B47</f>
        <v>27593</v>
      </c>
    </row>
    <row r="48" spans="1:8" x14ac:dyDescent="0.25">
      <c r="A48" s="68" t="s">
        <v>185</v>
      </c>
      <c r="B48" s="61"/>
      <c r="C48" s="71"/>
      <c r="D48" s="58"/>
      <c r="E48" s="58"/>
      <c r="F48" s="71">
        <v>625088</v>
      </c>
      <c r="G48" s="58"/>
      <c r="H48" s="61"/>
    </row>
    <row r="49" spans="1:8" x14ac:dyDescent="0.25">
      <c r="A49" s="75" t="s">
        <v>59</v>
      </c>
      <c r="B49" s="73">
        <f>+B50+B53+B64</f>
        <v>4204894</v>
      </c>
      <c r="C49" s="73">
        <f>+C50+C53+C64</f>
        <v>3725496</v>
      </c>
      <c r="D49" s="58">
        <f>+C49/B49%</f>
        <v>88.599046729834328</v>
      </c>
      <c r="E49" s="58">
        <v>287.93777187548687</v>
      </c>
      <c r="F49" s="73">
        <f>+F50+F53+F64</f>
        <v>4008994</v>
      </c>
      <c r="G49" s="58">
        <f>+F49/B49%</f>
        <v>95.341142963413574</v>
      </c>
      <c r="H49" s="73">
        <f>+F49-B49</f>
        <v>-195900</v>
      </c>
    </row>
    <row r="50" spans="1:8" s="59" customFormat="1" ht="14.25" x14ac:dyDescent="0.2">
      <c r="A50" s="110" t="s">
        <v>60</v>
      </c>
      <c r="B50" s="73">
        <v>3512171</v>
      </c>
      <c r="C50" s="73">
        <f>1516200+1271100+264000</f>
        <v>3051300</v>
      </c>
      <c r="D50" s="58">
        <f>+C50/B50%</f>
        <v>86.877888348830396</v>
      </c>
      <c r="E50" s="58"/>
      <c r="F50" s="73">
        <f>+F51+F52</f>
        <v>3329510</v>
      </c>
      <c r="G50" s="58">
        <f>+F50/B50%</f>
        <v>94.799199697281253</v>
      </c>
      <c r="H50" s="73">
        <f>+F50-B50</f>
        <v>-182661</v>
      </c>
    </row>
    <row r="51" spans="1:8" x14ac:dyDescent="0.25">
      <c r="A51" s="76" t="s">
        <v>61</v>
      </c>
      <c r="B51" s="72">
        <v>578171</v>
      </c>
      <c r="C51" s="77"/>
      <c r="D51" s="66">
        <f>+C51/B51%</f>
        <v>0</v>
      </c>
      <c r="E51" s="66"/>
      <c r="F51" s="77">
        <v>202150</v>
      </c>
      <c r="G51" s="66">
        <f>+F51/B51%</f>
        <v>34.96370450956551</v>
      </c>
      <c r="H51" s="72">
        <f>+F51-B51</f>
        <v>-376021</v>
      </c>
    </row>
    <row r="52" spans="1:8" x14ac:dyDescent="0.25">
      <c r="A52" s="76" t="s">
        <v>62</v>
      </c>
      <c r="B52" s="72">
        <v>2934000</v>
      </c>
      <c r="C52" s="72"/>
      <c r="D52" s="66">
        <f>+C52/B52%</f>
        <v>0</v>
      </c>
      <c r="E52" s="66"/>
      <c r="F52" s="72">
        <v>3127360</v>
      </c>
      <c r="G52" s="66">
        <f>+F52/B52%</f>
        <v>106.59032038173143</v>
      </c>
      <c r="H52" s="72">
        <f>+F52-B52</f>
        <v>193360</v>
      </c>
    </row>
    <row r="53" spans="1:8" s="59" customFormat="1" ht="14.25" x14ac:dyDescent="0.2">
      <c r="A53" s="110" t="s">
        <v>63</v>
      </c>
      <c r="B53" s="73">
        <v>81336</v>
      </c>
      <c r="C53" s="73">
        <v>81336</v>
      </c>
      <c r="D53" s="58">
        <f>+C53/B53%</f>
        <v>100</v>
      </c>
      <c r="E53" s="58"/>
      <c r="F53" s="73">
        <v>70473</v>
      </c>
      <c r="G53" s="58">
        <f>+F53/B53%</f>
        <v>86.644290351136021</v>
      </c>
      <c r="H53" s="73">
        <f>+F53-B53</f>
        <v>-10863</v>
      </c>
    </row>
    <row r="54" spans="1:8" x14ac:dyDescent="0.25">
      <c r="A54" s="76" t="s">
        <v>64</v>
      </c>
      <c r="B54" s="94">
        <v>0</v>
      </c>
      <c r="C54" s="76"/>
      <c r="D54" s="66"/>
      <c r="E54" s="66"/>
      <c r="F54" s="76"/>
      <c r="G54" s="66"/>
      <c r="H54" s="94">
        <f>+F54-B54</f>
        <v>0</v>
      </c>
    </row>
    <row r="55" spans="1:8" x14ac:dyDescent="0.25">
      <c r="A55" s="76" t="s">
        <v>65</v>
      </c>
      <c r="B55" s="94">
        <f>SUM(B56:B63)</f>
        <v>81336</v>
      </c>
      <c r="C55" s="94">
        <f t="shared" ref="C55" si="3">SUM(C56:C63)</f>
        <v>0</v>
      </c>
      <c r="D55" s="66">
        <f>+C55/B55%</f>
        <v>0</v>
      </c>
      <c r="E55" s="66"/>
      <c r="F55" s="94">
        <f>SUM(F56:F63)</f>
        <v>70473</v>
      </c>
      <c r="G55" s="66">
        <f>+F55/B55%</f>
        <v>86.644290351136021</v>
      </c>
      <c r="H55" s="94">
        <f>+F55-B55</f>
        <v>-10863</v>
      </c>
    </row>
    <row r="56" spans="1:8" ht="15.75" x14ac:dyDescent="0.25">
      <c r="A56" s="38" t="s">
        <v>134</v>
      </c>
      <c r="B56" s="94">
        <v>15672</v>
      </c>
      <c r="C56" s="76"/>
      <c r="D56" s="66">
        <f>+C56/B56%</f>
        <v>0</v>
      </c>
      <c r="E56" s="66"/>
      <c r="F56" s="72">
        <v>8158</v>
      </c>
      <c r="G56" s="66">
        <f>+F56/B56%</f>
        <v>52.054619703930577</v>
      </c>
      <c r="H56" s="94">
        <f>+F56-B56</f>
        <v>-7514</v>
      </c>
    </row>
    <row r="57" spans="1:8" ht="15.75" x14ac:dyDescent="0.25">
      <c r="A57" s="38" t="s">
        <v>135</v>
      </c>
      <c r="B57" s="94">
        <v>1850</v>
      </c>
      <c r="C57" s="76"/>
      <c r="D57" s="66">
        <f>+C57/B57%</f>
        <v>0</v>
      </c>
      <c r="E57" s="66"/>
      <c r="F57" s="72">
        <v>1890</v>
      </c>
      <c r="G57" s="66">
        <f>+F57/B57%</f>
        <v>102.16216216216216</v>
      </c>
      <c r="H57" s="94">
        <f>+F57-B57</f>
        <v>40</v>
      </c>
    </row>
    <row r="58" spans="1:8" ht="15.75" x14ac:dyDescent="0.25">
      <c r="A58" s="38" t="s">
        <v>136</v>
      </c>
      <c r="B58" s="94">
        <v>1166</v>
      </c>
      <c r="C58" s="76"/>
      <c r="D58" s="66">
        <f>+C58/B58%</f>
        <v>0</v>
      </c>
      <c r="E58" s="66"/>
      <c r="F58" s="72">
        <v>761</v>
      </c>
      <c r="G58" s="66">
        <f>+F58/B58%</f>
        <v>65.265866209262441</v>
      </c>
      <c r="H58" s="94">
        <f>+F58-B58</f>
        <v>-405</v>
      </c>
    </row>
    <row r="59" spans="1:8" ht="15.75" x14ac:dyDescent="0.25">
      <c r="A59" s="38" t="s">
        <v>137</v>
      </c>
      <c r="B59" s="72">
        <v>56260</v>
      </c>
      <c r="C59" s="76"/>
      <c r="D59" s="66">
        <f>+C59/B59%</f>
        <v>0</v>
      </c>
      <c r="E59" s="66"/>
      <c r="F59" s="72">
        <v>59664</v>
      </c>
      <c r="G59" s="66">
        <f>+F59/B59%</f>
        <v>106.05047991468183</v>
      </c>
      <c r="H59" s="72">
        <f>+F59-B59</f>
        <v>3404</v>
      </c>
    </row>
    <row r="60" spans="1:8" ht="15.75" x14ac:dyDescent="0.25">
      <c r="A60" s="38" t="s">
        <v>67</v>
      </c>
      <c r="B60" s="72">
        <v>528</v>
      </c>
      <c r="C60" s="76"/>
      <c r="D60" s="66">
        <f>+C60/B60%</f>
        <v>0</v>
      </c>
      <c r="E60" s="66"/>
      <c r="F60" s="76"/>
      <c r="G60" s="66">
        <f>+F60/B60%</f>
        <v>0</v>
      </c>
      <c r="H60" s="72">
        <f>+F60-B60</f>
        <v>-528</v>
      </c>
    </row>
    <row r="61" spans="1:8" ht="15.75" x14ac:dyDescent="0.25">
      <c r="A61" s="38" t="s">
        <v>68</v>
      </c>
      <c r="B61" s="72">
        <v>160</v>
      </c>
      <c r="C61" s="76"/>
      <c r="D61" s="66">
        <f>+C61/B61%</f>
        <v>0</v>
      </c>
      <c r="E61" s="66"/>
      <c r="F61" s="76"/>
      <c r="G61" s="66">
        <f>+F61/B61%</f>
        <v>0</v>
      </c>
      <c r="H61" s="72">
        <f>+F61-B61</f>
        <v>-160</v>
      </c>
    </row>
    <row r="62" spans="1:8" ht="15.75" x14ac:dyDescent="0.25">
      <c r="A62" s="38" t="s">
        <v>69</v>
      </c>
      <c r="B62" s="72">
        <v>3500</v>
      </c>
      <c r="C62" s="76"/>
      <c r="D62" s="66">
        <f>+C62/B62%</f>
        <v>0</v>
      </c>
      <c r="E62" s="66"/>
      <c r="F62" s="76"/>
      <c r="G62" s="66">
        <f>+F62/B62%</f>
        <v>0</v>
      </c>
      <c r="H62" s="72">
        <f>+F62-B62</f>
        <v>-3500</v>
      </c>
    </row>
    <row r="63" spans="1:8" ht="15.75" x14ac:dyDescent="0.25">
      <c r="A63" s="38" t="s">
        <v>70</v>
      </c>
      <c r="B63" s="72">
        <v>2200</v>
      </c>
      <c r="C63" s="76"/>
      <c r="D63" s="66">
        <f>+C63/B63%</f>
        <v>0</v>
      </c>
      <c r="E63" s="66"/>
      <c r="F63" s="76"/>
      <c r="G63" s="66">
        <f>+F63/B63%</f>
        <v>0</v>
      </c>
      <c r="H63" s="72">
        <f>+F63-B63</f>
        <v>-2200</v>
      </c>
    </row>
    <row r="64" spans="1:8" s="59" customFormat="1" ht="15.75" x14ac:dyDescent="0.25">
      <c r="A64" s="30" t="s">
        <v>186</v>
      </c>
      <c r="B64" s="73">
        <f>+B65+B69</f>
        <v>611387</v>
      </c>
      <c r="C64" s="73">
        <f>+C65+C69</f>
        <v>592860</v>
      </c>
      <c r="D64" s="58">
        <f>+C64/B64%</f>
        <v>96.969677143936664</v>
      </c>
      <c r="E64" s="58"/>
      <c r="F64" s="73">
        <f>+F65+F69</f>
        <v>609011</v>
      </c>
      <c r="G64" s="58">
        <f>+F64/B64%</f>
        <v>99.611375446321233</v>
      </c>
      <c r="H64" s="73">
        <f>+F64-B64</f>
        <v>-2376</v>
      </c>
    </row>
    <row r="65" spans="1:8" s="59" customFormat="1" ht="15.75" x14ac:dyDescent="0.25">
      <c r="A65" s="4" t="s">
        <v>179</v>
      </c>
      <c r="B65" s="99">
        <f>+B66+B67+B68</f>
        <v>370538</v>
      </c>
      <c r="C65" s="73">
        <v>352011</v>
      </c>
      <c r="D65" s="58">
        <f>+C65/B65%</f>
        <v>94.999973012214667</v>
      </c>
      <c r="E65" s="58"/>
      <c r="F65" s="99">
        <f>+F66+F67+F68</f>
        <v>356782</v>
      </c>
      <c r="G65" s="58">
        <f>+F65/B65%</f>
        <v>96.28756025023074</v>
      </c>
      <c r="H65" s="73">
        <f>+F65-B65</f>
        <v>-13756</v>
      </c>
    </row>
    <row r="66" spans="1:8" ht="15.75" x14ac:dyDescent="0.25">
      <c r="A66" s="3" t="s">
        <v>180</v>
      </c>
      <c r="B66" s="94">
        <v>115055</v>
      </c>
      <c r="C66" s="72"/>
      <c r="D66" s="66">
        <f>+C66/B66%</f>
        <v>0</v>
      </c>
      <c r="E66" s="76"/>
      <c r="F66" s="94">
        <v>95317</v>
      </c>
      <c r="G66" s="66">
        <f>+F66/B66%</f>
        <v>82.844726435183176</v>
      </c>
      <c r="H66" s="72">
        <f>+F66-B66</f>
        <v>-19738</v>
      </c>
    </row>
    <row r="67" spans="1:8" ht="15.75" x14ac:dyDescent="0.25">
      <c r="A67" s="3" t="s">
        <v>181</v>
      </c>
      <c r="B67" s="94">
        <v>44203</v>
      </c>
      <c r="C67" s="72"/>
      <c r="D67" s="66"/>
      <c r="E67" s="76"/>
      <c r="F67" s="94">
        <v>46640</v>
      </c>
      <c r="G67" s="66">
        <f>+F67/B67%</f>
        <v>105.51320046150714</v>
      </c>
      <c r="H67" s="72">
        <f>+F67-B67</f>
        <v>2437</v>
      </c>
    </row>
    <row r="68" spans="1:8" ht="15.75" x14ac:dyDescent="0.25">
      <c r="A68" s="3" t="s">
        <v>182</v>
      </c>
      <c r="B68" s="94">
        <v>211280</v>
      </c>
      <c r="C68" s="72"/>
      <c r="D68" s="66"/>
      <c r="E68" s="76"/>
      <c r="F68" s="94">
        <v>214825</v>
      </c>
      <c r="G68" s="66">
        <f>+F68/B68%</f>
        <v>101.6778682317304</v>
      </c>
      <c r="H68" s="72">
        <f>+F68-B68</f>
        <v>3545</v>
      </c>
    </row>
    <row r="69" spans="1:8" s="59" customFormat="1" ht="15.75" x14ac:dyDescent="0.25">
      <c r="A69" s="4" t="s">
        <v>183</v>
      </c>
      <c r="B69" s="99">
        <f>+B70+B71+B72</f>
        <v>240849</v>
      </c>
      <c r="C69" s="73">
        <v>240849</v>
      </c>
      <c r="D69" s="58"/>
      <c r="E69" s="110"/>
      <c r="F69" s="99">
        <f>+F70+F71+F72</f>
        <v>252229</v>
      </c>
      <c r="G69" s="66">
        <f>+F69/B69%</f>
        <v>104.72495214844156</v>
      </c>
      <c r="H69" s="72">
        <f>+F69-B69</f>
        <v>11380</v>
      </c>
    </row>
    <row r="70" spans="1:8" ht="15.75" x14ac:dyDescent="0.25">
      <c r="A70" s="3" t="s">
        <v>180</v>
      </c>
      <c r="B70" s="94">
        <v>129908</v>
      </c>
      <c r="C70" s="72"/>
      <c r="D70" s="66"/>
      <c r="E70" s="76"/>
      <c r="F70" s="94">
        <v>155376</v>
      </c>
      <c r="G70" s="66">
        <f>+F70/B70%</f>
        <v>119.6046432860178</v>
      </c>
      <c r="H70" s="72">
        <f>+F70-B70</f>
        <v>25468</v>
      </c>
    </row>
    <row r="71" spans="1:8" ht="15.75" x14ac:dyDescent="0.25">
      <c r="A71" s="3" t="s">
        <v>184</v>
      </c>
      <c r="B71" s="94">
        <v>60238</v>
      </c>
      <c r="C71" s="72"/>
      <c r="D71" s="66"/>
      <c r="E71" s="76"/>
      <c r="F71" s="94">
        <v>45064</v>
      </c>
      <c r="G71" s="66">
        <f>+F71/B71%</f>
        <v>74.809920648095883</v>
      </c>
      <c r="H71" s="72">
        <f>+F71-B71</f>
        <v>-15174</v>
      </c>
    </row>
    <row r="72" spans="1:8" ht="15.75" x14ac:dyDescent="0.25">
      <c r="A72" s="5" t="s">
        <v>182</v>
      </c>
      <c r="B72" s="120">
        <v>50703</v>
      </c>
      <c r="C72" s="78"/>
      <c r="D72" s="79"/>
      <c r="E72" s="80"/>
      <c r="F72" s="120">
        <v>51789</v>
      </c>
      <c r="G72" s="79">
        <f>+F72/B72%</f>
        <v>102.14188509555647</v>
      </c>
      <c r="H72" s="78">
        <f>+F72-B72</f>
        <v>1086</v>
      </c>
    </row>
    <row r="73" spans="1:8" ht="15.75" x14ac:dyDescent="0.25">
      <c r="A73" s="117"/>
      <c r="B73" s="118"/>
      <c r="C73" s="118"/>
      <c r="D73" s="119"/>
      <c r="E73" s="103"/>
      <c r="F73" s="118"/>
      <c r="G73" s="119"/>
      <c r="H73" s="118"/>
    </row>
    <row r="74" spans="1:8" ht="15.75" hidden="1" x14ac:dyDescent="0.25">
      <c r="A74" s="117"/>
      <c r="B74" s="118"/>
      <c r="C74" s="118"/>
      <c r="D74" s="119"/>
      <c r="E74" s="103"/>
      <c r="F74" s="118"/>
      <c r="G74" s="119"/>
      <c r="H74" s="118"/>
    </row>
    <row r="75" spans="1:8" ht="15.75" hidden="1" x14ac:dyDescent="0.25">
      <c r="A75" s="117"/>
      <c r="B75" s="118"/>
      <c r="C75" s="118"/>
      <c r="D75" s="119"/>
      <c r="E75" s="103"/>
      <c r="F75" s="118"/>
      <c r="G75" s="119"/>
      <c r="H75" s="118"/>
    </row>
    <row r="76" spans="1:8" ht="15.75" hidden="1" x14ac:dyDescent="0.25">
      <c r="A76" s="117"/>
      <c r="B76" s="118"/>
      <c r="C76" s="118"/>
      <c r="D76" s="119"/>
      <c r="E76" s="103"/>
      <c r="F76" s="118"/>
      <c r="G76" s="119"/>
      <c r="H76" s="118"/>
    </row>
    <row r="77" spans="1:8" ht="15.75" hidden="1" x14ac:dyDescent="0.25">
      <c r="A77" s="117"/>
      <c r="B77" s="118"/>
      <c r="C77" s="118"/>
      <c r="D77" s="119"/>
      <c r="E77" s="103"/>
      <c r="F77" s="118"/>
      <c r="G77" s="119"/>
      <c r="H77" s="118"/>
    </row>
    <row r="78" spans="1:8" ht="15.75" hidden="1" x14ac:dyDescent="0.25">
      <c r="A78" s="117"/>
      <c r="B78" s="118"/>
      <c r="C78" s="118"/>
      <c r="D78" s="119"/>
      <c r="E78" s="103"/>
      <c r="F78" s="118"/>
      <c r="G78" s="119"/>
      <c r="H78" s="118"/>
    </row>
    <row r="79" spans="1:8" hidden="1" x14ac:dyDescent="0.25"/>
    <row r="80" spans="1:8" hidden="1" x14ac:dyDescent="0.25">
      <c r="B80" s="81">
        <f>+B10+B50+B65</f>
        <v>7648285</v>
      </c>
      <c r="C80" s="81">
        <f>+C10+C50+C65</f>
        <v>6819648</v>
      </c>
      <c r="D80" s="66">
        <f>+C80/B80%</f>
        <v>89.165714928248619</v>
      </c>
    </row>
    <row r="81" spans="1:14" hidden="1" x14ac:dyDescent="0.25">
      <c r="B81" s="81">
        <f>+B15+B53+B66</f>
        <v>10876262.6</v>
      </c>
      <c r="C81" s="81">
        <f>+C15+C53+C66</f>
        <v>11295544</v>
      </c>
      <c r="D81" s="66">
        <f>+C81/B81%</f>
        <v>103.85501357791784</v>
      </c>
    </row>
    <row r="82" spans="1:14" hidden="1" x14ac:dyDescent="0.25">
      <c r="C82" s="81"/>
      <c r="F82" s="81"/>
    </row>
    <row r="83" spans="1:14" hidden="1" x14ac:dyDescent="0.25">
      <c r="A83" s="46" t="s">
        <v>159</v>
      </c>
      <c r="F83" s="46" t="s">
        <v>150</v>
      </c>
      <c r="G83" s="46" t="s">
        <v>151</v>
      </c>
      <c r="H83" s="46" t="s">
        <v>152</v>
      </c>
      <c r="I83" s="46" t="s">
        <v>153</v>
      </c>
      <c r="J83" s="46" t="s">
        <v>154</v>
      </c>
      <c r="K83" s="46" t="s">
        <v>155</v>
      </c>
      <c r="L83" s="46" t="s">
        <v>156</v>
      </c>
      <c r="M83" s="46" t="s">
        <v>157</v>
      </c>
      <c r="N83" s="46" t="s">
        <v>158</v>
      </c>
    </row>
    <row r="84" spans="1:14" hidden="1" x14ac:dyDescent="0.25">
      <c r="A84" s="46" t="s">
        <v>54</v>
      </c>
      <c r="F84" s="102">
        <f>SUM(G84:N84)</f>
        <v>386237</v>
      </c>
      <c r="G84" s="102">
        <v>49667</v>
      </c>
      <c r="H84" s="102">
        <v>27674</v>
      </c>
      <c r="I84" s="102">
        <v>47055</v>
      </c>
      <c r="J84" s="102">
        <v>47460</v>
      </c>
      <c r="K84" s="102">
        <v>55296</v>
      </c>
      <c r="L84" s="102">
        <v>54677</v>
      </c>
      <c r="M84" s="102">
        <v>55020</v>
      </c>
      <c r="N84" s="102">
        <v>49388</v>
      </c>
    </row>
    <row r="85" spans="1:14" hidden="1" x14ac:dyDescent="0.25">
      <c r="A85" s="46" t="s">
        <v>55</v>
      </c>
      <c r="F85" s="102">
        <f t="shared" ref="F85:F87" si="4">SUM(G85:N85)</f>
        <v>76320</v>
      </c>
      <c r="G85" s="102">
        <v>8942</v>
      </c>
      <c r="H85" s="102">
        <v>4818</v>
      </c>
      <c r="I85" s="102">
        <v>9861</v>
      </c>
      <c r="J85" s="102">
        <v>9586</v>
      </c>
      <c r="K85" s="102">
        <v>11558</v>
      </c>
      <c r="L85" s="102">
        <v>10453</v>
      </c>
      <c r="M85" s="102">
        <v>10801</v>
      </c>
      <c r="N85" s="102">
        <v>10301</v>
      </c>
    </row>
    <row r="86" spans="1:14" hidden="1" x14ac:dyDescent="0.25">
      <c r="A86" s="46" t="s">
        <v>56</v>
      </c>
      <c r="F86" s="102">
        <f t="shared" si="4"/>
        <v>174328</v>
      </c>
      <c r="G86" s="102">
        <v>21802</v>
      </c>
      <c r="H86" s="102">
        <v>12183</v>
      </c>
      <c r="I86" s="102">
        <v>23178</v>
      </c>
      <c r="J86" s="102">
        <v>21817</v>
      </c>
      <c r="K86" s="102">
        <v>25808</v>
      </c>
      <c r="L86" s="102">
        <v>24314</v>
      </c>
      <c r="M86" s="102">
        <v>23147</v>
      </c>
      <c r="N86" s="102">
        <v>22079</v>
      </c>
    </row>
    <row r="87" spans="1:14" hidden="1" x14ac:dyDescent="0.25">
      <c r="A87" s="46" t="s">
        <v>57</v>
      </c>
      <c r="F87" s="102">
        <f t="shared" si="4"/>
        <v>19985</v>
      </c>
      <c r="G87" s="102">
        <v>2267</v>
      </c>
      <c r="H87" s="102">
        <v>1214</v>
      </c>
      <c r="I87" s="102">
        <v>2618</v>
      </c>
      <c r="J87" s="102">
        <v>3306</v>
      </c>
      <c r="K87" s="102">
        <v>2943</v>
      </c>
      <c r="L87" s="102">
        <v>2587</v>
      </c>
      <c r="M87" s="102">
        <v>2420</v>
      </c>
      <c r="N87" s="102">
        <v>2630</v>
      </c>
    </row>
    <row r="89" spans="1:14" x14ac:dyDescent="0.25">
      <c r="C89" s="81"/>
      <c r="F89" s="81"/>
    </row>
    <row r="90" spans="1:14" x14ac:dyDescent="0.25">
      <c r="C90" s="81"/>
      <c r="F90" s="81"/>
    </row>
  </sheetData>
  <mergeCells count="10">
    <mergeCell ref="A1:B1"/>
    <mergeCell ref="A5:A6"/>
    <mergeCell ref="A2:H2"/>
    <mergeCell ref="A3:H3"/>
    <mergeCell ref="G4:H4"/>
    <mergeCell ref="G5:H5"/>
    <mergeCell ref="B5:B6"/>
    <mergeCell ref="F5:F6"/>
    <mergeCell ref="C5:C6"/>
    <mergeCell ref="D5:E5"/>
  </mergeCells>
  <pageMargins left="0.74" right="0.37" top="0.3" bottom="0.28999999999999998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workbookViewId="0">
      <pane xSplit="7" ySplit="7" topLeftCell="AL8" activePane="bottomRight" state="frozen"/>
      <selection pane="topRight" activeCell="K1" sqref="K1"/>
      <selection pane="bottomLeft" activeCell="A8" sqref="A8"/>
      <selection pane="bottomRight" activeCell="AR7" sqref="AR7"/>
    </sheetView>
  </sheetViews>
  <sheetFormatPr defaultRowHeight="15" x14ac:dyDescent="0.25"/>
  <cols>
    <col min="1" max="1" width="49.5703125" bestFit="1" customWidth="1"/>
    <col min="2" max="2" width="13.5703125" bestFit="1" customWidth="1"/>
    <col min="3" max="3" width="13.42578125" bestFit="1" customWidth="1"/>
    <col min="4" max="4" width="9.42578125" bestFit="1" customWidth="1"/>
    <col min="5" max="6" width="12.85546875" bestFit="1" customWidth="1"/>
    <col min="7" max="7" width="9.42578125" bestFit="1" customWidth="1"/>
    <col min="8" max="9" width="12.28515625" bestFit="1" customWidth="1"/>
    <col min="10" max="10" width="10.140625" bestFit="1" customWidth="1"/>
    <col min="11" max="11" width="11.28515625" style="91" customWidth="1"/>
    <col min="12" max="12" width="11.7109375" style="91" bestFit="1" customWidth="1"/>
    <col min="13" max="13" width="9.85546875" style="91" customWidth="1"/>
    <col min="14" max="14" width="11.42578125" customWidth="1"/>
    <col min="15" max="15" width="10.7109375" bestFit="1" customWidth="1"/>
    <col min="16" max="16" width="11.85546875" customWidth="1"/>
    <col min="17" max="17" width="11.28515625" customWidth="1"/>
    <col min="18" max="18" width="11.7109375" customWidth="1"/>
    <col min="19" max="20" width="11.7109375" bestFit="1" customWidth="1"/>
    <col min="21" max="21" width="12.28515625" bestFit="1" customWidth="1"/>
    <col min="22" max="22" width="11.7109375" bestFit="1" customWidth="1"/>
    <col min="23" max="23" width="10.7109375" bestFit="1" customWidth="1"/>
    <col min="24" max="24" width="10.7109375" customWidth="1"/>
    <col min="25" max="25" width="11.42578125" customWidth="1"/>
    <col min="26" max="26" width="10.7109375" bestFit="1" customWidth="1"/>
    <col min="27" max="27" width="12" bestFit="1" customWidth="1"/>
    <col min="28" max="28" width="10.140625" bestFit="1" customWidth="1"/>
    <col min="29" max="29" width="10.7109375" bestFit="1" customWidth="1"/>
    <col min="30" max="30" width="11.140625" bestFit="1" customWidth="1"/>
    <col min="31" max="31" width="12" customWidth="1"/>
    <col min="32" max="33" width="10.7109375" bestFit="1" customWidth="1"/>
    <col min="34" max="34" width="11.7109375" bestFit="1" customWidth="1"/>
    <col min="35" max="35" width="11.28515625" customWidth="1"/>
    <col min="36" max="36" width="10.85546875" customWidth="1"/>
    <col min="37" max="37" width="11.140625" bestFit="1" customWidth="1"/>
    <col min="38" max="39" width="10.7109375" bestFit="1" customWidth="1"/>
    <col min="40" max="40" width="10.140625" bestFit="1" customWidth="1"/>
    <col min="41" max="41" width="10.7109375" bestFit="1" customWidth="1"/>
    <col min="42" max="42" width="10.140625" customWidth="1"/>
    <col min="43" max="43" width="11.7109375" bestFit="1" customWidth="1"/>
  </cols>
  <sheetData>
    <row r="1" spans="1:43" ht="4.9000000000000004" customHeight="1" x14ac:dyDescent="0.3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43" ht="18.75" x14ac:dyDescent="0.3">
      <c r="A2" s="161"/>
      <c r="B2" s="162" t="s">
        <v>109</v>
      </c>
      <c r="C2" s="162"/>
      <c r="D2" s="162"/>
      <c r="E2" s="162"/>
      <c r="F2" s="162"/>
      <c r="G2" s="162"/>
      <c r="H2" s="162"/>
      <c r="I2" s="162"/>
      <c r="J2" s="162"/>
      <c r="K2" s="161"/>
      <c r="L2" s="161"/>
      <c r="M2" s="161"/>
      <c r="N2" s="161"/>
      <c r="O2" s="161"/>
      <c r="P2" s="161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</row>
    <row r="3" spans="1:43" ht="8.25" customHeigh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</row>
    <row r="4" spans="1:43" ht="14.45" customHeight="1" x14ac:dyDescent="0.25">
      <c r="A4" s="164"/>
      <c r="B4" s="165"/>
      <c r="C4" s="166"/>
      <c r="D4" s="167"/>
      <c r="E4" s="168"/>
      <c r="F4" s="169"/>
      <c r="G4" s="163"/>
      <c r="H4" s="163"/>
      <c r="I4" s="171" t="s">
        <v>0</v>
      </c>
      <c r="J4" s="171"/>
      <c r="K4" s="170"/>
      <c r="L4" s="170"/>
      <c r="M4" s="170"/>
      <c r="N4" s="170"/>
      <c r="O4" s="172"/>
      <c r="P4" s="170"/>
      <c r="Q4" s="163"/>
      <c r="R4" s="163"/>
      <c r="S4" s="163"/>
      <c r="T4" s="166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</row>
    <row r="5" spans="1:43" s="46" customFormat="1" x14ac:dyDescent="0.25">
      <c r="A5" s="173" t="s">
        <v>1</v>
      </c>
      <c r="B5" s="174" t="s">
        <v>83</v>
      </c>
      <c r="C5" s="174"/>
      <c r="D5" s="174"/>
      <c r="E5" s="174" t="s">
        <v>84</v>
      </c>
      <c r="F5" s="174"/>
      <c r="G5" s="174"/>
      <c r="H5" s="174" t="s">
        <v>85</v>
      </c>
      <c r="I5" s="174"/>
      <c r="J5" s="174"/>
      <c r="K5" s="174" t="s">
        <v>86</v>
      </c>
      <c r="L5" s="174"/>
      <c r="M5" s="174"/>
      <c r="N5" s="174" t="s">
        <v>87</v>
      </c>
      <c r="O5" s="174"/>
      <c r="P5" s="174"/>
      <c r="Q5" s="174" t="s">
        <v>88</v>
      </c>
      <c r="R5" s="174"/>
      <c r="S5" s="174"/>
      <c r="T5" s="174" t="s">
        <v>89</v>
      </c>
      <c r="U5" s="174"/>
      <c r="V5" s="174"/>
      <c r="W5" s="174" t="s">
        <v>90</v>
      </c>
      <c r="X5" s="174"/>
      <c r="Y5" s="174"/>
      <c r="Z5" s="174" t="s">
        <v>91</v>
      </c>
      <c r="AA5" s="174"/>
      <c r="AB5" s="174"/>
      <c r="AC5" s="174" t="s">
        <v>92</v>
      </c>
      <c r="AD5" s="174"/>
      <c r="AE5" s="174"/>
      <c r="AF5" s="174" t="s">
        <v>93</v>
      </c>
      <c r="AG5" s="174"/>
      <c r="AH5" s="174"/>
      <c r="AI5" s="174" t="s">
        <v>94</v>
      </c>
      <c r="AJ5" s="174"/>
      <c r="AK5" s="174"/>
      <c r="AL5" s="174" t="s">
        <v>95</v>
      </c>
      <c r="AM5" s="174"/>
      <c r="AN5" s="174"/>
      <c r="AO5" s="174" t="s">
        <v>96</v>
      </c>
      <c r="AP5" s="174"/>
      <c r="AQ5" s="174"/>
    </row>
    <row r="6" spans="1:43" s="46" customFormat="1" ht="55.5" customHeight="1" x14ac:dyDescent="0.25">
      <c r="A6" s="173"/>
      <c r="B6" s="175" t="s">
        <v>97</v>
      </c>
      <c r="C6" s="176" t="s">
        <v>110</v>
      </c>
      <c r="D6" s="177" t="s">
        <v>98</v>
      </c>
      <c r="E6" s="175" t="s">
        <v>97</v>
      </c>
      <c r="F6" s="176" t="s">
        <v>110</v>
      </c>
      <c r="G6" s="177" t="s">
        <v>98</v>
      </c>
      <c r="H6" s="175" t="s">
        <v>97</v>
      </c>
      <c r="I6" s="176" t="s">
        <v>110</v>
      </c>
      <c r="J6" s="177" t="s">
        <v>98</v>
      </c>
      <c r="K6" s="175" t="s">
        <v>97</v>
      </c>
      <c r="L6" s="176" t="s">
        <v>110</v>
      </c>
      <c r="M6" s="177" t="s">
        <v>98</v>
      </c>
      <c r="N6" s="175" t="s">
        <v>97</v>
      </c>
      <c r="O6" s="176" t="s">
        <v>110</v>
      </c>
      <c r="P6" s="177" t="s">
        <v>98</v>
      </c>
      <c r="Q6" s="175" t="s">
        <v>97</v>
      </c>
      <c r="R6" s="176" t="s">
        <v>110</v>
      </c>
      <c r="S6" s="177" t="s">
        <v>98</v>
      </c>
      <c r="T6" s="175" t="s">
        <v>97</v>
      </c>
      <c r="U6" s="176" t="s">
        <v>110</v>
      </c>
      <c r="V6" s="177" t="s">
        <v>98</v>
      </c>
      <c r="W6" s="175" t="s">
        <v>97</v>
      </c>
      <c r="X6" s="176" t="s">
        <v>110</v>
      </c>
      <c r="Y6" s="177" t="s">
        <v>98</v>
      </c>
      <c r="Z6" s="175" t="s">
        <v>97</v>
      </c>
      <c r="AA6" s="176" t="s">
        <v>110</v>
      </c>
      <c r="AB6" s="177" t="s">
        <v>98</v>
      </c>
      <c r="AC6" s="175" t="s">
        <v>97</v>
      </c>
      <c r="AD6" s="176" t="s">
        <v>110</v>
      </c>
      <c r="AE6" s="177" t="s">
        <v>98</v>
      </c>
      <c r="AF6" s="175" t="s">
        <v>97</v>
      </c>
      <c r="AG6" s="176" t="s">
        <v>110</v>
      </c>
      <c r="AH6" s="177" t="s">
        <v>98</v>
      </c>
      <c r="AI6" s="175" t="s">
        <v>97</v>
      </c>
      <c r="AJ6" s="176" t="s">
        <v>110</v>
      </c>
      <c r="AK6" s="177" t="s">
        <v>98</v>
      </c>
      <c r="AL6" s="175" t="s">
        <v>97</v>
      </c>
      <c r="AM6" s="176" t="s">
        <v>110</v>
      </c>
      <c r="AN6" s="177" t="s">
        <v>98</v>
      </c>
      <c r="AO6" s="175" t="s">
        <v>97</v>
      </c>
      <c r="AP6" s="176" t="s">
        <v>110</v>
      </c>
      <c r="AQ6" s="177" t="s">
        <v>98</v>
      </c>
    </row>
    <row r="7" spans="1:43" s="87" customFormat="1" ht="15" customHeight="1" x14ac:dyDescent="0.25">
      <c r="A7" s="178" t="s">
        <v>163</v>
      </c>
      <c r="B7" s="179">
        <f>+B8+B9</f>
        <v>6638000</v>
      </c>
      <c r="C7" s="179">
        <f>+C8+C9</f>
        <v>7356000</v>
      </c>
      <c r="D7" s="180">
        <f>C7/B7%</f>
        <v>110.81651099728833</v>
      </c>
      <c r="E7" s="179">
        <f>B7-H7</f>
        <v>4774930</v>
      </c>
      <c r="F7" s="179">
        <f>+C7-I7</f>
        <v>4938500</v>
      </c>
      <c r="G7" s="181">
        <f>F7/E7%</f>
        <v>103.42559995643914</v>
      </c>
      <c r="H7" s="179">
        <f>+K7+N7+Q7+T7+W7+Z7+AC7+AF7+AI7+AL7+AO7</f>
        <v>1863070</v>
      </c>
      <c r="I7" s="179">
        <f>+L7+O7+R7+U7+X7+AA7+AD7+AG7+AJ7+AM7+AP7</f>
        <v>2417500</v>
      </c>
      <c r="J7" s="180">
        <f>I7/H7%</f>
        <v>129.75894625537418</v>
      </c>
      <c r="K7" s="179">
        <f>+K8+K9</f>
        <v>861940</v>
      </c>
      <c r="L7" s="179">
        <f>+L8+L9</f>
        <v>954500</v>
      </c>
      <c r="M7" s="181">
        <f>L7/K7%</f>
        <v>110.73856648954684</v>
      </c>
      <c r="N7" s="179">
        <f>+N8+N9</f>
        <v>143100</v>
      </c>
      <c r="O7" s="179">
        <f>+O8+O9</f>
        <v>256000</v>
      </c>
      <c r="P7" s="181">
        <f>O7/N7%</f>
        <v>178.89587700908456</v>
      </c>
      <c r="Q7" s="179">
        <f>+Q8+Q9</f>
        <v>111560</v>
      </c>
      <c r="R7" s="179">
        <f>+R8+R9</f>
        <v>169000</v>
      </c>
      <c r="S7" s="181">
        <f>R7/Q7%</f>
        <v>151.48798852635355</v>
      </c>
      <c r="T7" s="179">
        <f>+T8+T9</f>
        <v>146350</v>
      </c>
      <c r="U7" s="179">
        <f>+U8+U9</f>
        <v>197000</v>
      </c>
      <c r="V7" s="181">
        <f>U7/T7%</f>
        <v>134.60881448582165</v>
      </c>
      <c r="W7" s="179">
        <f>+W8+W9</f>
        <v>91310</v>
      </c>
      <c r="X7" s="179">
        <f>+X8+X9</f>
        <v>128000</v>
      </c>
      <c r="Y7" s="181">
        <f>X7/W7%</f>
        <v>140.18179826963092</v>
      </c>
      <c r="Z7" s="179">
        <f>+Z8+Z9</f>
        <v>98470</v>
      </c>
      <c r="AA7" s="179">
        <f>+AA8+AA9</f>
        <v>127000</v>
      </c>
      <c r="AB7" s="181">
        <f>AA7/Z7%</f>
        <v>128.97329135777395</v>
      </c>
      <c r="AC7" s="179">
        <f>+AC8+AC9</f>
        <v>81260</v>
      </c>
      <c r="AD7" s="179">
        <f>+AD8+AD9</f>
        <v>106000</v>
      </c>
      <c r="AE7" s="181">
        <f>AD7/AC7%</f>
        <v>130.44548363278366</v>
      </c>
      <c r="AF7" s="179">
        <f>+AF8+AF9</f>
        <v>95250</v>
      </c>
      <c r="AG7" s="179">
        <f>+AG8+AG9</f>
        <v>120000</v>
      </c>
      <c r="AH7" s="181">
        <f>AG7/AF7%</f>
        <v>125.98425196850394</v>
      </c>
      <c r="AI7" s="179">
        <f>+AI8+AI9</f>
        <v>101100</v>
      </c>
      <c r="AJ7" s="179">
        <f>+AJ8+AJ9</f>
        <v>171000</v>
      </c>
      <c r="AK7" s="181">
        <f>AJ7/AI7%</f>
        <v>169.13946587537092</v>
      </c>
      <c r="AL7" s="179">
        <f>+AL8+AL9</f>
        <v>75930</v>
      </c>
      <c r="AM7" s="179">
        <f>+AM8+AM9</f>
        <v>93000</v>
      </c>
      <c r="AN7" s="181">
        <f>AM7/AL7%</f>
        <v>122.48123271434217</v>
      </c>
      <c r="AO7" s="179">
        <f>+AO8+AO9</f>
        <v>56800</v>
      </c>
      <c r="AP7" s="179">
        <f>+AP8+AP9</f>
        <v>96000</v>
      </c>
      <c r="AQ7" s="181">
        <f>AP7/AO7%</f>
        <v>169.01408450704224</v>
      </c>
    </row>
    <row r="8" spans="1:43" s="87" customFormat="1" x14ac:dyDescent="0.25">
      <c r="A8" s="159" t="s">
        <v>26</v>
      </c>
      <c r="B8" s="96">
        <v>410000</v>
      </c>
      <c r="C8" s="96">
        <v>450000</v>
      </c>
      <c r="D8" s="97">
        <f>C8/B8%</f>
        <v>109.7560975609756</v>
      </c>
      <c r="E8" s="96">
        <f>B8-H8</f>
        <v>410000</v>
      </c>
      <c r="F8" s="96">
        <f>+C8-I8</f>
        <v>450000</v>
      </c>
      <c r="G8" s="182">
        <f>F8/E8%</f>
        <v>109.7560975609756</v>
      </c>
      <c r="H8" s="96">
        <f>+K8+N8+Q8+T8+W8+Z8+AC8+AF8+AI8+AL8+AO8</f>
        <v>0</v>
      </c>
      <c r="I8" s="96">
        <f>+L8+O8+R8+U8+X8+AA8+AD8+AG8+AJ8+AM8+AP8</f>
        <v>0</v>
      </c>
      <c r="J8" s="97"/>
      <c r="K8" s="96">
        <v>0</v>
      </c>
      <c r="L8" s="96"/>
      <c r="M8" s="182"/>
      <c r="N8" s="96">
        <v>0</v>
      </c>
      <c r="O8" s="96"/>
      <c r="P8" s="182"/>
      <c r="Q8" s="96">
        <v>0</v>
      </c>
      <c r="R8" s="96"/>
      <c r="S8" s="182"/>
      <c r="T8" s="96">
        <v>0</v>
      </c>
      <c r="U8" s="96"/>
      <c r="V8" s="182"/>
      <c r="W8" s="96">
        <v>0</v>
      </c>
      <c r="X8" s="96"/>
      <c r="Y8" s="182"/>
      <c r="Z8" s="96">
        <v>0</v>
      </c>
      <c r="AA8" s="96"/>
      <c r="AB8" s="182"/>
      <c r="AC8" s="96">
        <v>0</v>
      </c>
      <c r="AD8" s="96"/>
      <c r="AE8" s="182"/>
      <c r="AF8" s="96">
        <v>0</v>
      </c>
      <c r="AG8" s="96"/>
      <c r="AH8" s="182"/>
      <c r="AI8" s="96">
        <v>0</v>
      </c>
      <c r="AJ8" s="96"/>
      <c r="AK8" s="182"/>
      <c r="AL8" s="96">
        <v>0</v>
      </c>
      <c r="AM8" s="96"/>
      <c r="AN8" s="182"/>
      <c r="AO8" s="96">
        <v>0</v>
      </c>
      <c r="AP8" s="96"/>
      <c r="AQ8" s="182"/>
    </row>
    <row r="9" spans="1:43" s="87" customFormat="1" x14ac:dyDescent="0.25">
      <c r="A9" s="183" t="s">
        <v>27</v>
      </c>
      <c r="B9" s="96">
        <f>+B11+B12+B13+B14+B15+B16+B17+B18+B21+B26+B27+B29+B30+B34+B35+B36</f>
        <v>6228000</v>
      </c>
      <c r="C9" s="96">
        <f>+C11+C12+C13+C14+C15+C16+C17+C18+C21+C26+C27+C29+C30+C34+C35+C36</f>
        <v>6906000</v>
      </c>
      <c r="D9" s="97">
        <f>C9/B9%</f>
        <v>110.88631984585741</v>
      </c>
      <c r="E9" s="96">
        <f>B9-H9</f>
        <v>4364930</v>
      </c>
      <c r="F9" s="96">
        <f>+C9-I9</f>
        <v>4488500</v>
      </c>
      <c r="G9" s="182">
        <f>F9/E9%</f>
        <v>102.83097323439321</v>
      </c>
      <c r="H9" s="96">
        <f>+K9+N9+Q9+T9+W9+Z9+AC9+AF9+AI9+AL9+AO9</f>
        <v>1863070</v>
      </c>
      <c r="I9" s="96">
        <f>+L9+O9+R9+U9+X9+AA9+AD9+AG9+AJ9+AM9+AP9</f>
        <v>2417500</v>
      </c>
      <c r="J9" s="97">
        <f>I9/H9%</f>
        <v>129.75894625537418</v>
      </c>
      <c r="K9" s="96">
        <f>+K11+K12+K13+K14+K15+K16+K17+K18+K21+K26+K27+K29+K30+K34+K35+K36</f>
        <v>861940</v>
      </c>
      <c r="L9" s="96">
        <f>+L11+L12+L13+L14+L15+L16+L17+L18+L21+L26+L27+L29+L30+L34+L35+L36</f>
        <v>954500</v>
      </c>
      <c r="M9" s="182">
        <f>L9/K9%</f>
        <v>110.73856648954684</v>
      </c>
      <c r="N9" s="96">
        <f>+N11+N12+N13+N14+N15+N16+N17+N18+N21+N26+N27+N29+N30+N34+N35+N36</f>
        <v>143100</v>
      </c>
      <c r="O9" s="96">
        <f>+O11+O12+O13+O14+O15+O16+O17+O18+O21+O26+O27+O29+O30+O34+O35+O36</f>
        <v>256000</v>
      </c>
      <c r="P9" s="182">
        <f>O9/N9%</f>
        <v>178.89587700908456</v>
      </c>
      <c r="Q9" s="96">
        <f>+Q11+Q12+Q13+Q14+Q15+Q16+Q17+Q18+Q21+Q26+Q27+Q29+Q30+Q34+Q35+Q36</f>
        <v>111560</v>
      </c>
      <c r="R9" s="96">
        <f>+R11+R12+R13+R14+R15+R16+R17+R18+R21+R26+R27+R29+R30+R34+R35+R36</f>
        <v>169000</v>
      </c>
      <c r="S9" s="182">
        <f>R9/Q9%</f>
        <v>151.48798852635355</v>
      </c>
      <c r="T9" s="96">
        <f>+T11+T12+T13+T14+T15+T16+T17+T18+T21+T26+T27+T29+T30+T34+T35+T36</f>
        <v>146350</v>
      </c>
      <c r="U9" s="96">
        <f>+U11+U12+U13+U14+U15+U16+U17+U18+U21+U26+U27+U29+U30+U34+U35+U36</f>
        <v>197000</v>
      </c>
      <c r="V9" s="182">
        <f>U9/T9%</f>
        <v>134.60881448582165</v>
      </c>
      <c r="W9" s="96">
        <f>+W11+W12+W13+W14+W15+W16+W17+W18+W21+W26+W27+W29+W30+W34+W35+W36</f>
        <v>91310</v>
      </c>
      <c r="X9" s="96">
        <f>+X11+X12+X13+X14+X15+X16+X17+X18+X21+X26+X27+X29+X30+X34+X35+X36</f>
        <v>128000</v>
      </c>
      <c r="Y9" s="182">
        <f>X9/W9%</f>
        <v>140.18179826963092</v>
      </c>
      <c r="Z9" s="96">
        <f>+Z11+Z12+Z13+Z14+Z15+Z16+Z17+Z18+Z21+Z26+Z27+Z29+Z30+Z34+Z35+Z36</f>
        <v>98470</v>
      </c>
      <c r="AA9" s="96">
        <f>+AA11+AA12+AA13+AA14+AA15+AA16+AA17+AA18+AA21+AA26+AA27+AA29+AA30+AA34+AA35+AA36</f>
        <v>127000</v>
      </c>
      <c r="AB9" s="182">
        <f>AA9/Z9%</f>
        <v>128.97329135777395</v>
      </c>
      <c r="AC9" s="96">
        <f>+AC11+AC12+AC13+AC14+AC15+AC16+AC17+AC18+AC21+AC26+AC27+AC29+AC30+AC34+AC35+AC36</f>
        <v>81260</v>
      </c>
      <c r="AD9" s="96">
        <f>+AD11+AD12+AD13+AD14+AD15+AD16+AD17+AD18+AD21+AD26+AD27+AD29+AD30+AD34+AD35+AD36</f>
        <v>106000</v>
      </c>
      <c r="AE9" s="182">
        <f>AD9/AC9%</f>
        <v>130.44548363278366</v>
      </c>
      <c r="AF9" s="96">
        <f>+AF11+AF12+AF13+AF14+AF15+AF16+AF17+AF18+AF21+AF26+AF27+AF29+AF30+AF34+AF35+AF36</f>
        <v>95250</v>
      </c>
      <c r="AG9" s="96">
        <f>+AG11+AG12+AG13+AG14+AG15+AG16+AG17+AG18+AG21+AG26+AG27+AG29+AG30+AG34+AG35+AG36</f>
        <v>120000</v>
      </c>
      <c r="AH9" s="182">
        <f>AG9/AF9%</f>
        <v>125.98425196850394</v>
      </c>
      <c r="AI9" s="96">
        <f>+AI11+AI12+AI13+AI14+AI15+AI16+AI17+AI18+AI21+AI26+AI27+AI29+AI30+AI34+AI35+AI36</f>
        <v>101100</v>
      </c>
      <c r="AJ9" s="96">
        <f>+AJ11+AJ12+AJ13+AJ14+AJ15+AJ16+AJ17+AJ18+AJ21+AJ26+AJ27+AJ29+AJ30+AJ34+AJ35+AJ36</f>
        <v>171000</v>
      </c>
      <c r="AK9" s="182">
        <f>AJ9/AI9%</f>
        <v>169.13946587537092</v>
      </c>
      <c r="AL9" s="96">
        <f>+AL11+AL12+AL13+AL14+AL15+AL16+AL17+AL18+AL21+AL26+AL27+AL29+AL30+AL34+AL35+AL36</f>
        <v>75930</v>
      </c>
      <c r="AM9" s="96">
        <f>+AM11+AM12+AM13+AM14+AM15+AM16+AM17+AM18+AM21+AM26+AM27+AM29+AM30+AM34+AM35+AM36</f>
        <v>93000</v>
      </c>
      <c r="AN9" s="182">
        <f>AM9/AL9%</f>
        <v>122.48123271434217</v>
      </c>
      <c r="AO9" s="96">
        <f>+AO11+AO12+AO13+AO14+AO15+AO16+AO17+AO18+AO21+AO26+AO27+AO29+AO30+AO34+AO35+AO36</f>
        <v>56800</v>
      </c>
      <c r="AP9" s="96">
        <f>+AP11+AP12+AP13+AP14+AP15+AP16+AP17+AP18+AP21+AP26+AP27+AP29+AP30+AP34+AP35+AP36</f>
        <v>96000</v>
      </c>
      <c r="AQ9" s="182">
        <f>AP9/AO9%</f>
        <v>169.01408450704224</v>
      </c>
    </row>
    <row r="10" spans="1:43" s="88" customFormat="1" x14ac:dyDescent="0.25">
      <c r="A10" s="184" t="s">
        <v>28</v>
      </c>
      <c r="B10" s="185">
        <f>+B9-B26-B36</f>
        <v>4028000</v>
      </c>
      <c r="C10" s="185">
        <f>+C9-C26-C36</f>
        <v>4691000</v>
      </c>
      <c r="D10" s="186">
        <f>C10/B10%</f>
        <v>116.45978152929493</v>
      </c>
      <c r="E10" s="185">
        <f>B10-H10</f>
        <v>2438930</v>
      </c>
      <c r="F10" s="185">
        <f>+C10-I10</f>
        <v>2598500</v>
      </c>
      <c r="G10" s="187">
        <f>F10/E10%</f>
        <v>106.54262319951782</v>
      </c>
      <c r="H10" s="185">
        <f>+K10+N10+Q10+T10+W10+Z10+AC10+AF10+AI10+AL10+AO10</f>
        <v>1589070</v>
      </c>
      <c r="I10" s="185">
        <f>+L10+O10+R10+U10+X10+AA10+AD10+AG10+AJ10+AM10+AP10</f>
        <v>2092500</v>
      </c>
      <c r="J10" s="186">
        <f>I10/H10%</f>
        <v>131.68079442692894</v>
      </c>
      <c r="K10" s="185">
        <f>+K9-K26-K36</f>
        <v>711940</v>
      </c>
      <c r="L10" s="185">
        <f>+L9-L26-L36</f>
        <v>844500</v>
      </c>
      <c r="M10" s="187">
        <f>L10/K10%</f>
        <v>118.61954659100486</v>
      </c>
      <c r="N10" s="185">
        <f>+N9-N26-N36</f>
        <v>113100</v>
      </c>
      <c r="O10" s="185">
        <f>+O9-O26-O36</f>
        <v>219000</v>
      </c>
      <c r="P10" s="187">
        <f>O10/N10%</f>
        <v>193.63395225464191</v>
      </c>
      <c r="Q10" s="185">
        <f>+Q9-Q26-Q36</f>
        <v>91560</v>
      </c>
      <c r="R10" s="185">
        <f>+R9-R26-R36</f>
        <v>121000</v>
      </c>
      <c r="S10" s="187">
        <f>R10/Q10%</f>
        <v>132.15377894276978</v>
      </c>
      <c r="T10" s="185">
        <f>+T9-T26-T36</f>
        <v>136350</v>
      </c>
      <c r="U10" s="185">
        <f>+U9-U26-U36</f>
        <v>172000</v>
      </c>
      <c r="V10" s="187">
        <f>U10/T10%</f>
        <v>126.14594792812615</v>
      </c>
      <c r="W10" s="185">
        <f>+W9-W26-W36</f>
        <v>81310</v>
      </c>
      <c r="X10" s="185">
        <f>+X9-X26-X36</f>
        <v>101000</v>
      </c>
      <c r="Y10" s="187">
        <f>X10/W10%</f>
        <v>124.21596359611364</v>
      </c>
      <c r="Z10" s="185">
        <f>+Z9-Z26-Z36</f>
        <v>88470</v>
      </c>
      <c r="AA10" s="185">
        <f>+AA9-AA26-AA36</f>
        <v>117000</v>
      </c>
      <c r="AB10" s="187">
        <f>AA10/Z10%</f>
        <v>132.24821973550354</v>
      </c>
      <c r="AC10" s="185">
        <f>+AC9-AC26-AC36</f>
        <v>71260</v>
      </c>
      <c r="AD10" s="185">
        <f>+AD9-AD26-AD36</f>
        <v>96000</v>
      </c>
      <c r="AE10" s="187">
        <f>AD10/AC10%</f>
        <v>134.71793432500701</v>
      </c>
      <c r="AF10" s="185">
        <f>+AF9-AF26-AF36</f>
        <v>80250</v>
      </c>
      <c r="AG10" s="185">
        <f>+AG9-AG26-AG36</f>
        <v>101000</v>
      </c>
      <c r="AH10" s="187">
        <f>AG10/AF10%</f>
        <v>125.85669781931465</v>
      </c>
      <c r="AI10" s="185">
        <f>+AI9-AI26-AI36</f>
        <v>93100</v>
      </c>
      <c r="AJ10" s="185">
        <f>+AJ9-AJ26-AJ36</f>
        <v>157000</v>
      </c>
      <c r="AK10" s="187">
        <f>AJ10/AI10%</f>
        <v>168.63587540279269</v>
      </c>
      <c r="AL10" s="185">
        <f>+AL9-AL26-AL36</f>
        <v>69930</v>
      </c>
      <c r="AM10" s="185">
        <f>+AM9-AM26-AM36</f>
        <v>82000</v>
      </c>
      <c r="AN10" s="187">
        <f>AM10/AL10%</f>
        <v>117.26011726011727</v>
      </c>
      <c r="AO10" s="185">
        <f>+AO9-AO26-AO36</f>
        <v>51800</v>
      </c>
      <c r="AP10" s="185">
        <f>+AP9-AP26-AP36</f>
        <v>82000</v>
      </c>
      <c r="AQ10" s="187">
        <f>AP10/AO10%</f>
        <v>158.3011583011583</v>
      </c>
    </row>
    <row r="11" spans="1:43" s="87" customFormat="1" x14ac:dyDescent="0.25">
      <c r="A11" s="188" t="s">
        <v>161</v>
      </c>
      <c r="B11" s="145">
        <v>240000</v>
      </c>
      <c r="C11" s="145">
        <v>242000</v>
      </c>
      <c r="D11" s="146">
        <f>C11/B11%</f>
        <v>100.83333333333333</v>
      </c>
      <c r="E11" s="145">
        <f>B11-H11</f>
        <v>238810</v>
      </c>
      <c r="F11" s="145">
        <f>+C11-I11</f>
        <v>237750</v>
      </c>
      <c r="G11" s="189">
        <f>F11/E11%</f>
        <v>99.556132490264233</v>
      </c>
      <c r="H11" s="145">
        <f>+K11+N11+Q11+T11+W11+Z11+AC11+AF11+AI11+AL11+AO11</f>
        <v>1190</v>
      </c>
      <c r="I11" s="145">
        <f>+L11+O11+R11+U11+X11+AA11+AD11+AG11+AJ11+AM11+AP11</f>
        <v>4250</v>
      </c>
      <c r="J11" s="146">
        <f>I11/H11%</f>
        <v>357.14285714285711</v>
      </c>
      <c r="K11" s="145">
        <v>110</v>
      </c>
      <c r="L11" s="145">
        <v>1500</v>
      </c>
      <c r="M11" s="189">
        <f>L11/K11%</f>
        <v>1363.6363636363635</v>
      </c>
      <c r="N11" s="145">
        <v>300</v>
      </c>
      <c r="O11" s="145">
        <v>1300</v>
      </c>
      <c r="P11" s="189">
        <f>O11/N11%</f>
        <v>433.33333333333331</v>
      </c>
      <c r="Q11" s="145">
        <v>0</v>
      </c>
      <c r="R11" s="145"/>
      <c r="S11" s="189"/>
      <c r="T11" s="145">
        <v>500</v>
      </c>
      <c r="U11" s="145">
        <v>1100</v>
      </c>
      <c r="V11" s="189">
        <f>U11/T11%</f>
        <v>220</v>
      </c>
      <c r="W11" s="145">
        <v>230</v>
      </c>
      <c r="X11" s="145">
        <v>200</v>
      </c>
      <c r="Y11" s="189">
        <f>X11/W11%</f>
        <v>86.956521739130437</v>
      </c>
      <c r="Z11" s="145">
        <v>0</v>
      </c>
      <c r="AA11" s="145"/>
      <c r="AB11" s="189"/>
      <c r="AC11" s="145">
        <v>0</v>
      </c>
      <c r="AD11" s="145"/>
      <c r="AE11" s="189"/>
      <c r="AF11" s="145">
        <v>50</v>
      </c>
      <c r="AG11" s="145">
        <v>150</v>
      </c>
      <c r="AH11" s="189">
        <f>AG11/AF11%</f>
        <v>300</v>
      </c>
      <c r="AI11" s="145">
        <v>0</v>
      </c>
      <c r="AJ11" s="145"/>
      <c r="AK11" s="189"/>
      <c r="AL11" s="145">
        <v>0</v>
      </c>
      <c r="AM11" s="145"/>
      <c r="AN11" s="189"/>
      <c r="AO11" s="145">
        <v>0</v>
      </c>
      <c r="AP11" s="145">
        <v>0</v>
      </c>
      <c r="AQ11" s="189"/>
    </row>
    <row r="12" spans="1:43" s="88" customFormat="1" x14ac:dyDescent="0.25">
      <c r="A12" s="188" t="s">
        <v>162</v>
      </c>
      <c r="B12" s="147">
        <v>360000</v>
      </c>
      <c r="C12" s="147">
        <f>415000+5000</f>
        <v>420000</v>
      </c>
      <c r="D12" s="95">
        <f>C12/B12%</f>
        <v>116.66666666666667</v>
      </c>
      <c r="E12" s="147">
        <f>B12-H12</f>
        <v>344450</v>
      </c>
      <c r="F12" s="147">
        <f>+C12-I12</f>
        <v>393950</v>
      </c>
      <c r="G12" s="189">
        <f>F12/E12%</f>
        <v>114.37073595587168</v>
      </c>
      <c r="H12" s="147">
        <f>+K12+N12+Q12+T12+W12+Z12+AC12+AF12+AI12+AL12+AO12</f>
        <v>15550</v>
      </c>
      <c r="I12" s="147">
        <f>+L12+O12+R12+U12+X12+AA12+AD12+AG12+AJ12+AM12+AP12</f>
        <v>26050</v>
      </c>
      <c r="J12" s="95">
        <f>I12/H12%</f>
        <v>167.52411575562701</v>
      </c>
      <c r="K12" s="147">
        <v>12000</v>
      </c>
      <c r="L12" s="147">
        <v>18000</v>
      </c>
      <c r="M12" s="189">
        <f>L12/K12%</f>
        <v>150</v>
      </c>
      <c r="N12" s="147">
        <v>650</v>
      </c>
      <c r="O12" s="147">
        <v>2100</v>
      </c>
      <c r="P12" s="189">
        <f>O12/N12%</f>
        <v>323.07692307692309</v>
      </c>
      <c r="Q12" s="147">
        <v>720</v>
      </c>
      <c r="R12" s="147">
        <v>1500</v>
      </c>
      <c r="S12" s="189">
        <f>R12/Q12%</f>
        <v>208.33333333333331</v>
      </c>
      <c r="T12" s="147">
        <v>550</v>
      </c>
      <c r="U12" s="147">
        <v>800</v>
      </c>
      <c r="V12" s="189">
        <f>U12/T12%</f>
        <v>145.45454545454547</v>
      </c>
      <c r="W12" s="147">
        <v>300</v>
      </c>
      <c r="X12" s="147">
        <v>400</v>
      </c>
      <c r="Y12" s="189">
        <f>X12/W12%</f>
        <v>133.33333333333334</v>
      </c>
      <c r="Z12" s="147">
        <v>20</v>
      </c>
      <c r="AA12" s="147">
        <v>500</v>
      </c>
      <c r="AB12" s="189">
        <f>AA12/Z12%</f>
        <v>2500</v>
      </c>
      <c r="AC12" s="147">
        <v>100</v>
      </c>
      <c r="AD12" s="147">
        <v>250</v>
      </c>
      <c r="AE12" s="189">
        <f>AD12/AC12%</f>
        <v>250</v>
      </c>
      <c r="AF12" s="147">
        <v>400</v>
      </c>
      <c r="AG12" s="147">
        <v>700</v>
      </c>
      <c r="AH12" s="189">
        <f>AG12/AF12%</f>
        <v>175</v>
      </c>
      <c r="AI12" s="147">
        <v>300</v>
      </c>
      <c r="AJ12" s="147">
        <v>400</v>
      </c>
      <c r="AK12" s="189">
        <f>AJ12/AI12%</f>
        <v>133.33333333333334</v>
      </c>
      <c r="AL12" s="147">
        <v>400</v>
      </c>
      <c r="AM12" s="147">
        <v>1100</v>
      </c>
      <c r="AN12" s="189">
        <f>AM12/AL12%</f>
        <v>275</v>
      </c>
      <c r="AO12" s="147">
        <v>110</v>
      </c>
      <c r="AP12" s="147">
        <v>300</v>
      </c>
      <c r="AQ12" s="189">
        <f>AP12/AO12%</f>
        <v>272.72727272727269</v>
      </c>
    </row>
    <row r="13" spans="1:43" s="87" customFormat="1" x14ac:dyDescent="0.25">
      <c r="A13" s="188" t="s">
        <v>164</v>
      </c>
      <c r="B13" s="158">
        <v>31000</v>
      </c>
      <c r="C13" s="158">
        <v>110000</v>
      </c>
      <c r="D13" s="95">
        <f>C13/B13%</f>
        <v>354.83870967741933</v>
      </c>
      <c r="E13" s="158">
        <f>B13-H13</f>
        <v>31000</v>
      </c>
      <c r="F13" s="158">
        <f>+C13-I13</f>
        <v>110000</v>
      </c>
      <c r="G13" s="189">
        <f>F13/E13%</f>
        <v>354.83870967741933</v>
      </c>
      <c r="H13" s="158">
        <f>+K13+N13+Q13+T13+W13+Z13+AC13+AF13+AI13+AL13+AO13</f>
        <v>0</v>
      </c>
      <c r="I13" s="158">
        <f>+L13+O13+R13+U13+X13+AA13+AD13+AG13+AJ13+AM13+AP13</f>
        <v>0</v>
      </c>
      <c r="J13" s="95"/>
      <c r="K13" s="158">
        <v>0</v>
      </c>
      <c r="L13" s="158"/>
      <c r="M13" s="189"/>
      <c r="N13" s="158">
        <v>0</v>
      </c>
      <c r="O13" s="158"/>
      <c r="P13" s="189"/>
      <c r="Q13" s="158">
        <v>0</v>
      </c>
      <c r="R13" s="158"/>
      <c r="S13" s="189"/>
      <c r="T13" s="158">
        <v>0</v>
      </c>
      <c r="U13" s="158"/>
      <c r="V13" s="189"/>
      <c r="W13" s="158">
        <v>0</v>
      </c>
      <c r="X13" s="158"/>
      <c r="Y13" s="189"/>
      <c r="Z13" s="158">
        <v>0</v>
      </c>
      <c r="AA13" s="158"/>
      <c r="AB13" s="189"/>
      <c r="AC13" s="158">
        <v>0</v>
      </c>
      <c r="AD13" s="158"/>
      <c r="AE13" s="189"/>
      <c r="AF13" s="158">
        <v>0</v>
      </c>
      <c r="AG13" s="158"/>
      <c r="AH13" s="189"/>
      <c r="AI13" s="158">
        <v>0</v>
      </c>
      <c r="AJ13" s="158"/>
      <c r="AK13" s="189"/>
      <c r="AL13" s="158">
        <v>0</v>
      </c>
      <c r="AM13" s="158"/>
      <c r="AN13" s="189"/>
      <c r="AO13" s="158">
        <v>0</v>
      </c>
      <c r="AP13" s="158"/>
      <c r="AQ13" s="189"/>
    </row>
    <row r="14" spans="1:43" s="87" customFormat="1" x14ac:dyDescent="0.25">
      <c r="A14" s="188" t="s">
        <v>165</v>
      </c>
      <c r="B14" s="147">
        <v>1055000</v>
      </c>
      <c r="C14" s="147">
        <v>1450000</v>
      </c>
      <c r="D14" s="95">
        <f>C14/B14%</f>
        <v>137.44075829383885</v>
      </c>
      <c r="E14" s="147">
        <f>B14-H14</f>
        <v>405300</v>
      </c>
      <c r="F14" s="147">
        <f>+C14-I14</f>
        <v>673000</v>
      </c>
      <c r="G14" s="189">
        <f>F14/E14%</f>
        <v>166.04983962496917</v>
      </c>
      <c r="H14" s="147">
        <f>+K14+N14+Q14+T14+W14+Z14+AC14+AF14+AI14+AL14+AO14</f>
        <v>649700</v>
      </c>
      <c r="I14" s="147">
        <f>+L14+O14+R14+U14+X14+AA14+AD14+AG14+AJ14+AM14+AP14</f>
        <v>777000</v>
      </c>
      <c r="J14" s="95">
        <f>I14/H14%</f>
        <v>119.59365861166692</v>
      </c>
      <c r="K14" s="147">
        <v>310000</v>
      </c>
      <c r="L14" s="147">
        <v>340000</v>
      </c>
      <c r="M14" s="189">
        <f>L14/K14%</f>
        <v>109.6774193548387</v>
      </c>
      <c r="N14" s="147">
        <v>46000</v>
      </c>
      <c r="O14" s="147">
        <v>55000</v>
      </c>
      <c r="P14" s="189">
        <f>O14/N14%</f>
        <v>119.56521739130434</v>
      </c>
      <c r="Q14" s="147">
        <v>36500</v>
      </c>
      <c r="R14" s="147">
        <v>50000</v>
      </c>
      <c r="S14" s="189">
        <f>R14/Q14%</f>
        <v>136.98630136986301</v>
      </c>
      <c r="T14" s="147">
        <v>50700</v>
      </c>
      <c r="U14" s="147">
        <v>59000</v>
      </c>
      <c r="V14" s="189">
        <f>U14/T14%</f>
        <v>116.37080867850099</v>
      </c>
      <c r="W14" s="147">
        <v>24500</v>
      </c>
      <c r="X14" s="147">
        <v>27000</v>
      </c>
      <c r="Y14" s="189">
        <f>X14/W14%</f>
        <v>110.20408163265306</v>
      </c>
      <c r="Z14" s="147">
        <v>30000</v>
      </c>
      <c r="AA14" s="147">
        <v>34000</v>
      </c>
      <c r="AB14" s="189">
        <f>AA14/Z14%</f>
        <v>113.33333333333333</v>
      </c>
      <c r="AC14" s="147">
        <v>22500</v>
      </c>
      <c r="AD14" s="147">
        <v>30000</v>
      </c>
      <c r="AE14" s="189">
        <f>AD14/AC14%</f>
        <v>133.33333333333334</v>
      </c>
      <c r="AF14" s="147">
        <v>30000</v>
      </c>
      <c r="AG14" s="147">
        <v>36000</v>
      </c>
      <c r="AH14" s="189">
        <f>AG14/AF14%</f>
        <v>120</v>
      </c>
      <c r="AI14" s="147">
        <v>50000</v>
      </c>
      <c r="AJ14" s="147">
        <v>80000</v>
      </c>
      <c r="AK14" s="189">
        <f>AJ14/AI14%</f>
        <v>160</v>
      </c>
      <c r="AL14" s="147">
        <v>30000</v>
      </c>
      <c r="AM14" s="147">
        <v>27000</v>
      </c>
      <c r="AN14" s="189">
        <f>AM14/AL14%</f>
        <v>90</v>
      </c>
      <c r="AO14" s="147">
        <v>19500</v>
      </c>
      <c r="AP14" s="147">
        <v>39000</v>
      </c>
      <c r="AQ14" s="189">
        <f>AP14/AO14%</f>
        <v>200</v>
      </c>
    </row>
    <row r="15" spans="1:43" s="89" customFormat="1" x14ac:dyDescent="0.25">
      <c r="A15" s="188" t="s">
        <v>4</v>
      </c>
      <c r="B15" s="145">
        <v>350000</v>
      </c>
      <c r="C15" s="145">
        <v>350000</v>
      </c>
      <c r="D15" s="146">
        <f>C15/B15%</f>
        <v>100</v>
      </c>
      <c r="E15" s="145">
        <f>B15-H15</f>
        <v>0</v>
      </c>
      <c r="F15" s="145">
        <f>+C15-I15</f>
        <v>0</v>
      </c>
      <c r="G15" s="189"/>
      <c r="H15" s="145">
        <f>+K15+N15+Q15+T15+W15+Z15+AC15+AF15+AI15+AL15+AO15</f>
        <v>350000</v>
      </c>
      <c r="I15" s="145">
        <f>+L15+O15+R15+U15+X15+AA15+AD15+AG15+AJ15+AM15+AP15</f>
        <v>350000</v>
      </c>
      <c r="J15" s="146">
        <f>I15/H15%</f>
        <v>100</v>
      </c>
      <c r="K15" s="145">
        <v>199917</v>
      </c>
      <c r="L15" s="145">
        <v>190000</v>
      </c>
      <c r="M15" s="189">
        <f>L15/K15%</f>
        <v>95.039441368167786</v>
      </c>
      <c r="N15" s="145">
        <v>15000</v>
      </c>
      <c r="O15" s="145">
        <v>19000</v>
      </c>
      <c r="P15" s="189">
        <f>O15/N15%</f>
        <v>126.66666666666667</v>
      </c>
      <c r="Q15" s="145">
        <v>20000</v>
      </c>
      <c r="R15" s="145">
        <v>21000</v>
      </c>
      <c r="S15" s="189">
        <f>R15/Q15%</f>
        <v>105</v>
      </c>
      <c r="T15" s="145">
        <v>29000</v>
      </c>
      <c r="U15" s="145">
        <v>26000</v>
      </c>
      <c r="V15" s="189">
        <f>U15/T15%</f>
        <v>89.65517241379311</v>
      </c>
      <c r="W15" s="145">
        <v>13383</v>
      </c>
      <c r="X15" s="145">
        <v>14000</v>
      </c>
      <c r="Y15" s="189">
        <f>X15/W15%</f>
        <v>104.6103265336621</v>
      </c>
      <c r="Z15" s="145">
        <v>13000</v>
      </c>
      <c r="AA15" s="145">
        <v>16000</v>
      </c>
      <c r="AB15" s="189">
        <f>AA15/Z15%</f>
        <v>123.07692307692308</v>
      </c>
      <c r="AC15" s="145">
        <v>16700</v>
      </c>
      <c r="AD15" s="145">
        <v>17000</v>
      </c>
      <c r="AE15" s="189">
        <f>AD15/AC15%</f>
        <v>101.79640718562874</v>
      </c>
      <c r="AF15" s="145">
        <v>13500</v>
      </c>
      <c r="AG15" s="145">
        <v>14000</v>
      </c>
      <c r="AH15" s="189">
        <f>AG15/AF15%</f>
        <v>103.70370370370371</v>
      </c>
      <c r="AI15" s="145">
        <v>11500</v>
      </c>
      <c r="AJ15" s="145">
        <v>12000</v>
      </c>
      <c r="AK15" s="189">
        <f>AJ15/AI15%</f>
        <v>104.34782608695652</v>
      </c>
      <c r="AL15" s="145">
        <v>9000</v>
      </c>
      <c r="AM15" s="145">
        <v>9000</v>
      </c>
      <c r="AN15" s="189">
        <f>AM15/AL15%</f>
        <v>100</v>
      </c>
      <c r="AO15" s="145">
        <v>9000</v>
      </c>
      <c r="AP15" s="145">
        <v>12000</v>
      </c>
      <c r="AQ15" s="189">
        <f>AP15/AO15%</f>
        <v>133.33333333333334</v>
      </c>
    </row>
    <row r="16" spans="1:43" s="89" customFormat="1" x14ac:dyDescent="0.25">
      <c r="A16" s="188" t="s">
        <v>5</v>
      </c>
      <c r="B16" s="145">
        <v>16700</v>
      </c>
      <c r="C16" s="145">
        <v>23000</v>
      </c>
      <c r="D16" s="146">
        <f>C16/B16%</f>
        <v>137.7245508982036</v>
      </c>
      <c r="E16" s="145">
        <f>B16-H16</f>
        <v>0</v>
      </c>
      <c r="F16" s="145">
        <f>+C16-I16</f>
        <v>0</v>
      </c>
      <c r="G16" s="189"/>
      <c r="H16" s="145">
        <f>+K16+N16+Q16+T16+W16+Z16+AC16+AF16+AI16+AL16+AO16</f>
        <v>16700</v>
      </c>
      <c r="I16" s="145">
        <f>+L16+O16+R16+U16+X16+AA16+AD16+AG16+AJ16+AM16+AP16</f>
        <v>23000</v>
      </c>
      <c r="J16" s="146">
        <f>I16/H16%</f>
        <v>137.7245508982036</v>
      </c>
      <c r="K16" s="145">
        <v>12053</v>
      </c>
      <c r="L16" s="145">
        <v>16210</v>
      </c>
      <c r="M16" s="189">
        <f>L16/K16%</f>
        <v>134.48933875383722</v>
      </c>
      <c r="N16" s="145">
        <v>2700</v>
      </c>
      <c r="O16" s="145">
        <v>4000</v>
      </c>
      <c r="P16" s="189">
        <f>O16/N16%</f>
        <v>148.14814814814815</v>
      </c>
      <c r="Q16" s="145">
        <v>280</v>
      </c>
      <c r="R16" s="145">
        <v>400</v>
      </c>
      <c r="S16" s="189">
        <f>R16/Q16%</f>
        <v>142.85714285714286</v>
      </c>
      <c r="T16" s="145">
        <v>600</v>
      </c>
      <c r="U16" s="145">
        <v>620</v>
      </c>
      <c r="V16" s="189">
        <f>U16/T16%</f>
        <v>103.33333333333333</v>
      </c>
      <c r="W16" s="145">
        <v>97</v>
      </c>
      <c r="X16" s="145">
        <v>150</v>
      </c>
      <c r="Y16" s="189">
        <f>X16/W16%</f>
        <v>154.63917525773195</v>
      </c>
      <c r="Z16" s="145">
        <v>300</v>
      </c>
      <c r="AA16" s="145">
        <v>600</v>
      </c>
      <c r="AB16" s="189">
        <f>AA16/Z16%</f>
        <v>200</v>
      </c>
      <c r="AC16" s="145">
        <v>300</v>
      </c>
      <c r="AD16" s="145">
        <v>450</v>
      </c>
      <c r="AE16" s="189">
        <f>AD16/AC16%</f>
        <v>150</v>
      </c>
      <c r="AF16" s="145">
        <v>100</v>
      </c>
      <c r="AG16" s="145">
        <v>110</v>
      </c>
      <c r="AH16" s="189">
        <f>AG16/AF16%</f>
        <v>110</v>
      </c>
      <c r="AI16" s="145">
        <v>200</v>
      </c>
      <c r="AJ16" s="145">
        <v>400</v>
      </c>
      <c r="AK16" s="189">
        <f>AJ16/AI16%</f>
        <v>200</v>
      </c>
      <c r="AL16" s="145">
        <v>30</v>
      </c>
      <c r="AM16" s="145">
        <v>30</v>
      </c>
      <c r="AN16" s="189">
        <f>AM16/AL16%</f>
        <v>100</v>
      </c>
      <c r="AO16" s="145">
        <v>40</v>
      </c>
      <c r="AP16" s="145">
        <v>30</v>
      </c>
      <c r="AQ16" s="189">
        <f>AP16/AO16%</f>
        <v>75</v>
      </c>
    </row>
    <row r="17" spans="1:43" s="90" customFormat="1" x14ac:dyDescent="0.25">
      <c r="A17" s="188" t="s">
        <v>6</v>
      </c>
      <c r="B17" s="145">
        <v>620000</v>
      </c>
      <c r="C17" s="145">
        <f>740000+7000</f>
        <v>747000</v>
      </c>
      <c r="D17" s="146">
        <f>C17/B17%</f>
        <v>120.48387096774194</v>
      </c>
      <c r="E17" s="145">
        <f>B17-H17</f>
        <v>281000</v>
      </c>
      <c r="F17" s="145">
        <f>+C17-I17</f>
        <v>390000</v>
      </c>
      <c r="G17" s="189">
        <f>F17/E17%</f>
        <v>138.79003558718861</v>
      </c>
      <c r="H17" s="145">
        <f>+K17+N17+Q17+T17+W17+Z17+AC17+AF17+AI17+AL17+AO17</f>
        <v>339000</v>
      </c>
      <c r="I17" s="145">
        <f>+L17+O17+R17+U17+X17+AA17+AD17+AG17+AJ17+AM17+AP17</f>
        <v>357000</v>
      </c>
      <c r="J17" s="146">
        <f>I17/H17%</f>
        <v>105.30973451327434</v>
      </c>
      <c r="K17" s="145">
        <v>136000</v>
      </c>
      <c r="L17" s="145">
        <v>120000</v>
      </c>
      <c r="M17" s="189">
        <f>L17/K17%</f>
        <v>88.235294117647058</v>
      </c>
      <c r="N17" s="145">
        <v>33000</v>
      </c>
      <c r="O17" s="145">
        <v>46000</v>
      </c>
      <c r="P17" s="189">
        <f>O17/N17%</f>
        <v>139.39393939393941</v>
      </c>
      <c r="Q17" s="145">
        <v>15500</v>
      </c>
      <c r="R17" s="145">
        <v>19000</v>
      </c>
      <c r="S17" s="189">
        <f>R17/Q17%</f>
        <v>122.58064516129032</v>
      </c>
      <c r="T17" s="145">
        <v>28500</v>
      </c>
      <c r="U17" s="145">
        <v>34000</v>
      </c>
      <c r="V17" s="189">
        <f>U17/T17%</f>
        <v>119.29824561403508</v>
      </c>
      <c r="W17" s="145">
        <v>18000</v>
      </c>
      <c r="X17" s="145">
        <v>20000</v>
      </c>
      <c r="Y17" s="189">
        <f>X17/W17%</f>
        <v>111.11111111111111</v>
      </c>
      <c r="Z17" s="145">
        <v>24000</v>
      </c>
      <c r="AA17" s="145">
        <v>32000</v>
      </c>
      <c r="AB17" s="189">
        <f>AA17/Z17%</f>
        <v>133.33333333333334</v>
      </c>
      <c r="AC17" s="145">
        <v>18000</v>
      </c>
      <c r="AD17" s="145">
        <v>22000</v>
      </c>
      <c r="AE17" s="189">
        <f>AD17/AC17%</f>
        <v>122.22222222222223</v>
      </c>
      <c r="AF17" s="145">
        <v>22500</v>
      </c>
      <c r="AG17" s="145">
        <v>21000</v>
      </c>
      <c r="AH17" s="189">
        <f>AG17/AF17%</f>
        <v>93.333333333333329</v>
      </c>
      <c r="AI17" s="145">
        <v>17000</v>
      </c>
      <c r="AJ17" s="145">
        <v>18000</v>
      </c>
      <c r="AK17" s="189">
        <f>AJ17/AI17%</f>
        <v>105.88235294117646</v>
      </c>
      <c r="AL17" s="145">
        <v>17000</v>
      </c>
      <c r="AM17" s="145">
        <v>13000</v>
      </c>
      <c r="AN17" s="189">
        <f>AM17/AL17%</f>
        <v>76.470588235294116</v>
      </c>
      <c r="AO17" s="145">
        <v>9500</v>
      </c>
      <c r="AP17" s="145">
        <v>12000</v>
      </c>
      <c r="AQ17" s="189">
        <f>AP17/AO17%</f>
        <v>126.31578947368421</v>
      </c>
    </row>
    <row r="18" spans="1:43" s="87" customFormat="1" x14ac:dyDescent="0.25">
      <c r="A18" s="188" t="s">
        <v>166</v>
      </c>
      <c r="B18" s="145">
        <v>680000</v>
      </c>
      <c r="C18" s="145">
        <f>361000+16000</f>
        <v>377000</v>
      </c>
      <c r="D18" s="146">
        <f>C18/B18%</f>
        <v>55.441176470588232</v>
      </c>
      <c r="E18" s="145">
        <f>B18-H18</f>
        <v>678000</v>
      </c>
      <c r="F18" s="145">
        <f>+C18-I18</f>
        <v>374000</v>
      </c>
      <c r="G18" s="189">
        <f>F18/E18%</f>
        <v>55.162241887905601</v>
      </c>
      <c r="H18" s="145">
        <f>+K18+N18+Q18+T18+W18+Z18+AC18+AF18+AI18+AL18+AO18</f>
        <v>2000</v>
      </c>
      <c r="I18" s="145">
        <f>+L18+O18+R18+U18+X18+AA18+AD18+AG18+AJ18+AM18+AP18</f>
        <v>3000</v>
      </c>
      <c r="J18" s="146">
        <f>I18/H18%</f>
        <v>150</v>
      </c>
      <c r="K18" s="145">
        <v>0</v>
      </c>
      <c r="L18" s="145"/>
      <c r="M18" s="189"/>
      <c r="N18" s="145">
        <v>0</v>
      </c>
      <c r="O18" s="145"/>
      <c r="P18" s="189"/>
      <c r="Q18" s="145">
        <v>0</v>
      </c>
      <c r="R18" s="145"/>
      <c r="S18" s="189"/>
      <c r="T18" s="145">
        <v>0</v>
      </c>
      <c r="U18" s="145"/>
      <c r="V18" s="189"/>
      <c r="W18" s="145">
        <v>0</v>
      </c>
      <c r="X18" s="145"/>
      <c r="Y18" s="189"/>
      <c r="Z18" s="145">
        <v>0</v>
      </c>
      <c r="AA18" s="145"/>
      <c r="AB18" s="189"/>
      <c r="AC18" s="145">
        <v>0</v>
      </c>
      <c r="AD18" s="145"/>
      <c r="AE18" s="189"/>
      <c r="AF18" s="145">
        <v>0</v>
      </c>
      <c r="AG18" s="145"/>
      <c r="AH18" s="189"/>
      <c r="AI18" s="145">
        <v>0</v>
      </c>
      <c r="AJ18" s="145"/>
      <c r="AK18" s="189"/>
      <c r="AL18" s="145">
        <v>2000</v>
      </c>
      <c r="AM18" s="145">
        <v>3000</v>
      </c>
      <c r="AN18" s="189">
        <f>AM18/AL18%</f>
        <v>150</v>
      </c>
      <c r="AO18" s="145">
        <v>0</v>
      </c>
      <c r="AP18" s="145"/>
      <c r="AQ18" s="189"/>
    </row>
    <row r="19" spans="1:43" s="87" customFormat="1" x14ac:dyDescent="0.25">
      <c r="A19" s="190" t="s">
        <v>7</v>
      </c>
      <c r="B19" s="148">
        <v>272000</v>
      </c>
      <c r="C19" s="148">
        <f>+C18*0.4</f>
        <v>150800</v>
      </c>
      <c r="D19" s="149">
        <f>C19/B19%</f>
        <v>55.441176470588232</v>
      </c>
      <c r="E19" s="148">
        <f>B19-H19</f>
        <v>271200</v>
      </c>
      <c r="F19" s="148">
        <f>+C19-I19</f>
        <v>149400</v>
      </c>
      <c r="G19" s="189">
        <f>F19/E19%</f>
        <v>55.088495575221238</v>
      </c>
      <c r="H19" s="148">
        <f>+K19+N19+Q19+T19+W19+Z19+AC19+AF19+AI19+AL19+AO19</f>
        <v>800</v>
      </c>
      <c r="I19" s="148">
        <f>+L19+O19+R19+U19+X19+AA19+AD19+AG19+AJ19+AM19+AP19</f>
        <v>1400</v>
      </c>
      <c r="J19" s="149">
        <f>I19/H19%</f>
        <v>175</v>
      </c>
      <c r="K19" s="148">
        <v>0</v>
      </c>
      <c r="L19" s="148"/>
      <c r="M19" s="189"/>
      <c r="N19" s="148">
        <v>0</v>
      </c>
      <c r="O19" s="148"/>
      <c r="P19" s="189"/>
      <c r="Q19" s="148">
        <v>0</v>
      </c>
      <c r="R19" s="148"/>
      <c r="S19" s="189"/>
      <c r="T19" s="148">
        <v>0</v>
      </c>
      <c r="U19" s="148"/>
      <c r="V19" s="189"/>
      <c r="W19" s="148">
        <v>0</v>
      </c>
      <c r="X19" s="148"/>
      <c r="Y19" s="189"/>
      <c r="Z19" s="148">
        <v>0</v>
      </c>
      <c r="AA19" s="148"/>
      <c r="AB19" s="189"/>
      <c r="AC19" s="148">
        <v>0</v>
      </c>
      <c r="AD19" s="148"/>
      <c r="AE19" s="189"/>
      <c r="AF19" s="148">
        <v>0</v>
      </c>
      <c r="AG19" s="148"/>
      <c r="AH19" s="189"/>
      <c r="AI19" s="148">
        <v>0</v>
      </c>
      <c r="AJ19" s="148"/>
      <c r="AK19" s="189"/>
      <c r="AL19" s="148">
        <v>800</v>
      </c>
      <c r="AM19" s="148">
        <v>1400</v>
      </c>
      <c r="AN19" s="189">
        <f>AM19/AL19%</f>
        <v>175</v>
      </c>
      <c r="AO19" s="148">
        <v>0</v>
      </c>
      <c r="AP19" s="148"/>
      <c r="AQ19" s="189"/>
    </row>
    <row r="20" spans="1:43" s="88" customFormat="1" x14ac:dyDescent="0.25">
      <c r="A20" s="190" t="s">
        <v>8</v>
      </c>
      <c r="B20" s="148">
        <f>+B18-B19</f>
        <v>408000</v>
      </c>
      <c r="C20" s="148">
        <f>+C18-C19</f>
        <v>226200</v>
      </c>
      <c r="D20" s="149">
        <f>C20/B20%</f>
        <v>55.441176470588232</v>
      </c>
      <c r="E20" s="148">
        <f>B20-H20</f>
        <v>406800</v>
      </c>
      <c r="F20" s="148">
        <f>+C20-I20</f>
        <v>224600</v>
      </c>
      <c r="G20" s="191">
        <f>F20/E20%</f>
        <v>55.211406096361848</v>
      </c>
      <c r="H20" s="148">
        <f>+K20+N20+Q20+T20+W20+Z20+AC20+AF20+AI20+AL20+AO20</f>
        <v>1200</v>
      </c>
      <c r="I20" s="148">
        <f>+L20+O20+R20+U20+X20+AA20+AD20+AG20+AJ20+AM20+AP20</f>
        <v>1600</v>
      </c>
      <c r="J20" s="149">
        <f>I20/H20%</f>
        <v>133.33333333333334</v>
      </c>
      <c r="K20" s="148">
        <f>+K18-K19</f>
        <v>0</v>
      </c>
      <c r="L20" s="148">
        <f>+L18-L19</f>
        <v>0</v>
      </c>
      <c r="M20" s="191"/>
      <c r="N20" s="148">
        <f>+N18-N19</f>
        <v>0</v>
      </c>
      <c r="O20" s="148">
        <f>+O18-O19</f>
        <v>0</v>
      </c>
      <c r="P20" s="191"/>
      <c r="Q20" s="148">
        <f>+Q18-Q19</f>
        <v>0</v>
      </c>
      <c r="R20" s="148">
        <f>+R18-R19</f>
        <v>0</v>
      </c>
      <c r="S20" s="191"/>
      <c r="T20" s="148">
        <f>+T18-T19</f>
        <v>0</v>
      </c>
      <c r="U20" s="148">
        <f>+U18-U19</f>
        <v>0</v>
      </c>
      <c r="V20" s="191"/>
      <c r="W20" s="148">
        <f>+W18-W19</f>
        <v>0</v>
      </c>
      <c r="X20" s="148">
        <f>+X18-X19</f>
        <v>0</v>
      </c>
      <c r="Y20" s="191"/>
      <c r="Z20" s="148">
        <f>+Z18-Z19</f>
        <v>0</v>
      </c>
      <c r="AA20" s="148">
        <f>+AA18-AA19</f>
        <v>0</v>
      </c>
      <c r="AB20" s="191"/>
      <c r="AC20" s="148">
        <f>+AC18-AC19</f>
        <v>0</v>
      </c>
      <c r="AD20" s="148">
        <f>+AD18-AD19</f>
        <v>0</v>
      </c>
      <c r="AE20" s="191"/>
      <c r="AF20" s="148">
        <f>+AF18-AF19</f>
        <v>0</v>
      </c>
      <c r="AG20" s="148">
        <f>+AG18-AG19</f>
        <v>0</v>
      </c>
      <c r="AH20" s="191"/>
      <c r="AI20" s="148">
        <f>+AI18-AI19</f>
        <v>0</v>
      </c>
      <c r="AJ20" s="148">
        <f>+AJ18-AJ19</f>
        <v>0</v>
      </c>
      <c r="AK20" s="191"/>
      <c r="AL20" s="148">
        <f>+AL18-AL19</f>
        <v>1200</v>
      </c>
      <c r="AM20" s="148">
        <f>+AM18-AM19</f>
        <v>1600</v>
      </c>
      <c r="AN20" s="189">
        <f>AM20/AL20%</f>
        <v>133.33333333333334</v>
      </c>
      <c r="AO20" s="148">
        <f>+AO18-AO19</f>
        <v>0</v>
      </c>
      <c r="AP20" s="148">
        <f>+AP18-AP19</f>
        <v>0</v>
      </c>
      <c r="AQ20" s="191"/>
    </row>
    <row r="21" spans="1:43" s="87" customFormat="1" x14ac:dyDescent="0.25">
      <c r="A21" s="188" t="s">
        <v>9</v>
      </c>
      <c r="B21" s="145">
        <v>185000</v>
      </c>
      <c r="C21" s="145">
        <f>240000+10000</f>
        <v>250000</v>
      </c>
      <c r="D21" s="146">
        <f>C21/B21%</f>
        <v>135.13513513513513</v>
      </c>
      <c r="E21" s="145">
        <f>B21-H21</f>
        <v>123854</v>
      </c>
      <c r="F21" s="145">
        <f>+C21-I21</f>
        <v>70000</v>
      </c>
      <c r="G21" s="189">
        <f>F21/E21%</f>
        <v>56.518158476916369</v>
      </c>
      <c r="H21" s="145">
        <f>+K21+N21+Q21+T21+W21+Z21+AC21+AF21+AI21+AL21+AO21</f>
        <v>61146</v>
      </c>
      <c r="I21" s="145">
        <f>+L21+O21+R21+U21+X21+AA21+AD21+AG21+AJ21+AM21+AP21</f>
        <v>180000</v>
      </c>
      <c r="J21" s="146">
        <f>I21/H21%</f>
        <v>294.37739181630849</v>
      </c>
      <c r="K21" s="145">
        <v>13700</v>
      </c>
      <c r="L21" s="145">
        <v>32000</v>
      </c>
      <c r="M21" s="189">
        <f>L21/K21%</f>
        <v>233.57664233576642</v>
      </c>
      <c r="N21" s="145">
        <v>4000</v>
      </c>
      <c r="O21" s="145">
        <v>54000</v>
      </c>
      <c r="P21" s="189">
        <f>O21/N21%</f>
        <v>1350</v>
      </c>
      <c r="Q21" s="145">
        <v>5000</v>
      </c>
      <c r="R21" s="145">
        <v>11000</v>
      </c>
      <c r="S21" s="189">
        <f>R21/Q21%</f>
        <v>220</v>
      </c>
      <c r="T21" s="145">
        <v>11000</v>
      </c>
      <c r="U21" s="145">
        <v>14000</v>
      </c>
      <c r="V21" s="189">
        <f>U21/T21%</f>
        <v>127.27272727272727</v>
      </c>
      <c r="W21" s="145">
        <v>4800</v>
      </c>
      <c r="X21" s="145">
        <v>7000</v>
      </c>
      <c r="Y21" s="189">
        <f>X21/W21%</f>
        <v>145.83333333333334</v>
      </c>
      <c r="Z21" s="145">
        <v>5846</v>
      </c>
      <c r="AA21" s="145">
        <v>7000</v>
      </c>
      <c r="AB21" s="189">
        <f>AA21/Z21%</f>
        <v>119.73999315771468</v>
      </c>
      <c r="AC21" s="145">
        <v>3600</v>
      </c>
      <c r="AD21" s="145">
        <v>5000</v>
      </c>
      <c r="AE21" s="189">
        <f>AD21/AC21%</f>
        <v>138.88888888888889</v>
      </c>
      <c r="AF21" s="145">
        <v>3700</v>
      </c>
      <c r="AG21" s="145">
        <v>5000</v>
      </c>
      <c r="AH21" s="189">
        <f>AG21/AF21%</f>
        <v>135.13513513513513</v>
      </c>
      <c r="AI21" s="145">
        <v>3500</v>
      </c>
      <c r="AJ21" s="145">
        <v>31000</v>
      </c>
      <c r="AK21" s="189">
        <f>AJ21/AI21%</f>
        <v>885.71428571428567</v>
      </c>
      <c r="AL21" s="145">
        <v>3500</v>
      </c>
      <c r="AM21" s="145">
        <v>7000</v>
      </c>
      <c r="AN21" s="189">
        <f>AM21/AL21%</f>
        <v>200</v>
      </c>
      <c r="AO21" s="145">
        <v>2500</v>
      </c>
      <c r="AP21" s="145">
        <v>7000</v>
      </c>
      <c r="AQ21" s="189">
        <f>AP21/AO21%</f>
        <v>280</v>
      </c>
    </row>
    <row r="22" spans="1:43" s="87" customFormat="1" x14ac:dyDescent="0.25">
      <c r="A22" s="190" t="s">
        <v>10</v>
      </c>
      <c r="B22" s="148">
        <v>47000</v>
      </c>
      <c r="C22" s="148">
        <v>54000</v>
      </c>
      <c r="D22" s="149">
        <f>C22/B22%</f>
        <v>114.8936170212766</v>
      </c>
      <c r="E22" s="148">
        <f>B22-H22</f>
        <v>26700</v>
      </c>
      <c r="F22" s="148">
        <f>+C22-I22</f>
        <v>23800</v>
      </c>
      <c r="G22" s="189">
        <f>F22/E22%</f>
        <v>89.138576779026224</v>
      </c>
      <c r="H22" s="148">
        <f>+K22+N22+Q22+T22+W22+Z22+AC22+AF22+AI22+AL22+AO22</f>
        <v>20300</v>
      </c>
      <c r="I22" s="148">
        <f>+L22+O22+R22+U22+X22+AA22+AD22+AG22+AJ22+AM22+AP22</f>
        <v>30200</v>
      </c>
      <c r="J22" s="149">
        <f>I22/H22%</f>
        <v>148.76847290640393</v>
      </c>
      <c r="K22" s="148">
        <v>3000</v>
      </c>
      <c r="L22" s="148">
        <v>7300</v>
      </c>
      <c r="M22" s="189">
        <f>L22/K22%</f>
        <v>243.33333333333334</v>
      </c>
      <c r="N22" s="148">
        <v>900</v>
      </c>
      <c r="O22" s="148">
        <v>3100</v>
      </c>
      <c r="P22" s="189">
        <f>O22/N22%</f>
        <v>344.44444444444446</v>
      </c>
      <c r="Q22" s="148">
        <v>1500</v>
      </c>
      <c r="R22" s="148">
        <v>3500</v>
      </c>
      <c r="S22" s="189">
        <f>R22/Q22%</f>
        <v>233.33333333333334</v>
      </c>
      <c r="T22" s="148">
        <v>3300</v>
      </c>
      <c r="U22" s="148">
        <v>3400</v>
      </c>
      <c r="V22" s="189">
        <f>U22/T22%</f>
        <v>103.03030303030303</v>
      </c>
      <c r="W22" s="148">
        <v>2300</v>
      </c>
      <c r="X22" s="148">
        <v>2800</v>
      </c>
      <c r="Y22" s="189">
        <f>X22/W22%</f>
        <v>121.73913043478261</v>
      </c>
      <c r="Z22" s="148">
        <v>1500</v>
      </c>
      <c r="AA22" s="148">
        <v>1700</v>
      </c>
      <c r="AB22" s="189">
        <f>AA22/Z22%</f>
        <v>113.33333333333333</v>
      </c>
      <c r="AC22" s="148">
        <v>1600</v>
      </c>
      <c r="AD22" s="148">
        <v>1500</v>
      </c>
      <c r="AE22" s="189">
        <f>AD22/AC22%</f>
        <v>93.75</v>
      </c>
      <c r="AF22" s="148">
        <v>1500</v>
      </c>
      <c r="AG22" s="148">
        <v>1800</v>
      </c>
      <c r="AH22" s="189">
        <f>AG22/AF22%</f>
        <v>120</v>
      </c>
      <c r="AI22" s="148">
        <v>1700</v>
      </c>
      <c r="AJ22" s="148">
        <v>1500</v>
      </c>
      <c r="AK22" s="189">
        <f>AJ22/AI22%</f>
        <v>88.235294117647058</v>
      </c>
      <c r="AL22" s="148">
        <v>1500</v>
      </c>
      <c r="AM22" s="148">
        <v>2100</v>
      </c>
      <c r="AN22" s="189">
        <f>AM22/AL22%</f>
        <v>140</v>
      </c>
      <c r="AO22" s="148">
        <v>1500</v>
      </c>
      <c r="AP22" s="148">
        <v>1500</v>
      </c>
      <c r="AQ22" s="189">
        <f>AP22/AO22%</f>
        <v>100</v>
      </c>
    </row>
    <row r="23" spans="1:43" s="87" customFormat="1" x14ac:dyDescent="0.25">
      <c r="A23" s="188" t="s">
        <v>99</v>
      </c>
      <c r="B23" s="145">
        <v>97154</v>
      </c>
      <c r="C23" s="145">
        <v>93000</v>
      </c>
      <c r="D23" s="146">
        <f>C23/B23%</f>
        <v>95.724313975749851</v>
      </c>
      <c r="E23" s="145">
        <f>B23-H23</f>
        <v>97154</v>
      </c>
      <c r="F23" s="145">
        <f>+C23-I23</f>
        <v>41850</v>
      </c>
      <c r="G23" s="189">
        <f>F23/E23%</f>
        <v>43.075941289087432</v>
      </c>
      <c r="H23" s="145">
        <f>+K23+N23+Q23+T23+W23+Z23+AC23+AF23+AI23+AL23+AO23</f>
        <v>0</v>
      </c>
      <c r="I23" s="145">
        <f>+L23+O23+R23+U23+X23+AA23+AD23+AG23+AJ23+AM23+AP23</f>
        <v>51150</v>
      </c>
      <c r="J23" s="146"/>
      <c r="K23" s="145">
        <v>0</v>
      </c>
      <c r="L23" s="145">
        <v>200</v>
      </c>
      <c r="M23" s="189"/>
      <c r="N23" s="145">
        <v>0</v>
      </c>
      <c r="O23" s="145">
        <v>46000</v>
      </c>
      <c r="P23" s="189"/>
      <c r="Q23" s="145">
        <v>0</v>
      </c>
      <c r="R23" s="145">
        <v>2200</v>
      </c>
      <c r="S23" s="189"/>
      <c r="T23" s="145">
        <v>0</v>
      </c>
      <c r="U23" s="145">
        <v>300</v>
      </c>
      <c r="V23" s="189"/>
      <c r="W23" s="145">
        <v>0</v>
      </c>
      <c r="X23" s="145">
        <v>200</v>
      </c>
      <c r="Y23" s="189"/>
      <c r="Z23" s="145">
        <v>0</v>
      </c>
      <c r="AA23" s="145">
        <v>300</v>
      </c>
      <c r="AB23" s="189"/>
      <c r="AC23" s="145">
        <v>0</v>
      </c>
      <c r="AD23" s="145">
        <v>300</v>
      </c>
      <c r="AE23" s="189"/>
      <c r="AF23" s="145">
        <v>0</v>
      </c>
      <c r="AG23" s="145">
        <v>200</v>
      </c>
      <c r="AH23" s="189"/>
      <c r="AI23" s="145">
        <v>0</v>
      </c>
      <c r="AJ23" s="145">
        <v>150</v>
      </c>
      <c r="AK23" s="189"/>
      <c r="AL23" s="145">
        <v>0</v>
      </c>
      <c r="AM23" s="145">
        <v>300</v>
      </c>
      <c r="AN23" s="189"/>
      <c r="AO23" s="145">
        <v>0</v>
      </c>
      <c r="AP23" s="145">
        <v>1000</v>
      </c>
      <c r="AQ23" s="189"/>
    </row>
    <row r="24" spans="1:43" s="87" customFormat="1" x14ac:dyDescent="0.25">
      <c r="A24" s="188" t="s">
        <v>100</v>
      </c>
      <c r="B24" s="148">
        <v>36446</v>
      </c>
      <c r="C24" s="145">
        <v>79000</v>
      </c>
      <c r="D24" s="146">
        <f>C24/B24%</f>
        <v>216.75904077264997</v>
      </c>
      <c r="E24" s="145">
        <f>B24-H24</f>
        <v>0</v>
      </c>
      <c r="F24" s="145">
        <f>+C24-I24</f>
        <v>-2800</v>
      </c>
      <c r="G24" s="189"/>
      <c r="H24" s="145">
        <f>+K24+N24+Q24+T24+W24+Z24+AC24+AF24+AI24+AL24+AO24</f>
        <v>36446</v>
      </c>
      <c r="I24" s="145">
        <f>+L24+O24+R24+U24+X24+AA24+AD24+AG24+AJ24+AM24+AP24</f>
        <v>81800</v>
      </c>
      <c r="J24" s="146">
        <f>I24/H24%</f>
        <v>224.44163968611096</v>
      </c>
      <c r="K24" s="145">
        <v>10100</v>
      </c>
      <c r="L24" s="145">
        <v>21500</v>
      </c>
      <c r="M24" s="189"/>
      <c r="N24" s="145">
        <v>2800</v>
      </c>
      <c r="O24" s="145">
        <v>3900</v>
      </c>
      <c r="P24" s="189">
        <f>O24/N24%</f>
        <v>139.28571428571428</v>
      </c>
      <c r="Q24" s="145">
        <v>2900</v>
      </c>
      <c r="R24" s="145">
        <v>4500</v>
      </c>
      <c r="S24" s="189">
        <f>R24/Q24%</f>
        <v>155.17241379310346</v>
      </c>
      <c r="T24" s="145">
        <v>7000</v>
      </c>
      <c r="U24" s="145">
        <v>8500</v>
      </c>
      <c r="V24" s="189"/>
      <c r="W24" s="145">
        <v>2100</v>
      </c>
      <c r="X24" s="145">
        <v>3000</v>
      </c>
      <c r="Y24" s="189">
        <f>X24/W24%</f>
        <v>142.85714285714286</v>
      </c>
      <c r="Z24" s="145">
        <v>3946</v>
      </c>
      <c r="AA24" s="145">
        <v>3600</v>
      </c>
      <c r="AB24" s="189">
        <f>AA24/Z24%</f>
        <v>91.231626964014183</v>
      </c>
      <c r="AC24" s="145">
        <v>1700</v>
      </c>
      <c r="AD24" s="145">
        <v>2300</v>
      </c>
      <c r="AE24" s="189">
        <f>AD24/AC24%</f>
        <v>135.29411764705881</v>
      </c>
      <c r="AF24" s="145">
        <v>1800</v>
      </c>
      <c r="AG24" s="145">
        <v>2000</v>
      </c>
      <c r="AH24" s="189">
        <f>AG24/AF24%</f>
        <v>111.11111111111111</v>
      </c>
      <c r="AI24" s="145">
        <v>1500</v>
      </c>
      <c r="AJ24" s="145">
        <v>26000</v>
      </c>
      <c r="AK24" s="189">
        <f>AJ24/AI24%</f>
        <v>1733.3333333333333</v>
      </c>
      <c r="AL24" s="145">
        <v>1800</v>
      </c>
      <c r="AM24" s="145">
        <v>3000</v>
      </c>
      <c r="AN24" s="189">
        <f>AM24/AL24%</f>
        <v>166.66666666666666</v>
      </c>
      <c r="AO24" s="145">
        <v>800</v>
      </c>
      <c r="AP24" s="145">
        <v>3500</v>
      </c>
      <c r="AQ24" s="189">
        <f>AP24/AO24%</f>
        <v>437.5</v>
      </c>
    </row>
    <row r="25" spans="1:43" s="87" customFormat="1" x14ac:dyDescent="0.25">
      <c r="A25" s="188" t="s">
        <v>101</v>
      </c>
      <c r="B25" s="145">
        <f>+B21-B22-B23-B24</f>
        <v>4400</v>
      </c>
      <c r="C25" s="145">
        <f>+C21-C22-C23-C24</f>
        <v>24000</v>
      </c>
      <c r="D25" s="146">
        <f>C25/B25%</f>
        <v>545.4545454545455</v>
      </c>
      <c r="E25" s="145">
        <f>B25-H25</f>
        <v>0</v>
      </c>
      <c r="F25" s="145">
        <f>+C25-I25</f>
        <v>7150</v>
      </c>
      <c r="G25" s="189"/>
      <c r="H25" s="145">
        <f>+K25+N25+Q25+T25+W25+Z25+AC25+AF25+AI25+AL25+AO25</f>
        <v>4400</v>
      </c>
      <c r="I25" s="145">
        <f>+L25+O25+R25+U25+X25+AA25+AD25+AG25+AJ25+AM25+AP25</f>
        <v>16850</v>
      </c>
      <c r="J25" s="146">
        <f>I25/H25%</f>
        <v>382.95454545454544</v>
      </c>
      <c r="K25" s="145">
        <f>+K21-K22-K23-K24</f>
        <v>600</v>
      </c>
      <c r="L25" s="145">
        <f>+L21-L22-L23-L24</f>
        <v>3000</v>
      </c>
      <c r="M25" s="189">
        <f>L25/K25%</f>
        <v>500</v>
      </c>
      <c r="N25" s="145">
        <f>+N21-N22-N23-N24</f>
        <v>300</v>
      </c>
      <c r="O25" s="145">
        <f>+O21-O22-O23-O24</f>
        <v>1000</v>
      </c>
      <c r="P25" s="189">
        <f>O25/N25%</f>
        <v>333.33333333333331</v>
      </c>
      <c r="Q25" s="145">
        <f>+Q21-Q22-Q23-Q24</f>
        <v>600</v>
      </c>
      <c r="R25" s="145">
        <f>+R21-R22-R23-R24</f>
        <v>800</v>
      </c>
      <c r="S25" s="189">
        <f>R25/Q25%</f>
        <v>133.33333333333334</v>
      </c>
      <c r="T25" s="145">
        <f>+T21-T22-T23-T24</f>
        <v>700</v>
      </c>
      <c r="U25" s="145">
        <f>+U21-U22-U23-U24</f>
        <v>1800</v>
      </c>
      <c r="V25" s="189">
        <f>U25/T25%</f>
        <v>257.14285714285717</v>
      </c>
      <c r="W25" s="145">
        <f>+W21-W22-W23-W24</f>
        <v>400</v>
      </c>
      <c r="X25" s="145">
        <f>+X21-X22-X23-X24</f>
        <v>1000</v>
      </c>
      <c r="Y25" s="189">
        <f>X25/W25%</f>
        <v>250</v>
      </c>
      <c r="Z25" s="145">
        <f>+Z21-Z22-Z23-Z24</f>
        <v>400</v>
      </c>
      <c r="AA25" s="145">
        <f>+AA21-AA22-AA23-AA24</f>
        <v>1400</v>
      </c>
      <c r="AB25" s="189">
        <f>AA25/Z25%</f>
        <v>350</v>
      </c>
      <c r="AC25" s="145">
        <f>+AC21-AC22-AC23-AC24</f>
        <v>300</v>
      </c>
      <c r="AD25" s="145">
        <f>+AD21-AD22-AD23-AD24</f>
        <v>900</v>
      </c>
      <c r="AE25" s="189">
        <f>AD25/AC25%</f>
        <v>300</v>
      </c>
      <c r="AF25" s="145">
        <f>+AF21-AF22-AF23-AF24</f>
        <v>400</v>
      </c>
      <c r="AG25" s="145">
        <f>+AG21-AG22-AG23-AG24</f>
        <v>1000</v>
      </c>
      <c r="AH25" s="189">
        <f>AG25/AF25%</f>
        <v>250</v>
      </c>
      <c r="AI25" s="145">
        <f>+AI21-AI22-AI23-AI24</f>
        <v>300</v>
      </c>
      <c r="AJ25" s="145">
        <f>+AJ21-AJ22-AJ23-AJ24</f>
        <v>3350</v>
      </c>
      <c r="AK25" s="189">
        <f>AJ25/AI25%</f>
        <v>1116.6666666666667</v>
      </c>
      <c r="AL25" s="145">
        <f>+AL21-AL22-AL23-AL24</f>
        <v>200</v>
      </c>
      <c r="AM25" s="145">
        <f>+AM21-AM22-AM23-AM24</f>
        <v>1600</v>
      </c>
      <c r="AN25" s="189">
        <f>AM25/AL25%</f>
        <v>800</v>
      </c>
      <c r="AO25" s="145">
        <f>+AO21-AO22-AO23-AO24</f>
        <v>200</v>
      </c>
      <c r="AP25" s="145">
        <f>+AP21-AP22-AP23-AP24</f>
        <v>1000</v>
      </c>
      <c r="AQ25" s="189">
        <f>AP25/AO25%</f>
        <v>500</v>
      </c>
    </row>
    <row r="26" spans="1:43" s="87" customFormat="1" x14ac:dyDescent="0.25">
      <c r="A26" s="188" t="s">
        <v>11</v>
      </c>
      <c r="B26" s="145">
        <v>500000</v>
      </c>
      <c r="C26" s="145">
        <v>435000</v>
      </c>
      <c r="D26" s="146">
        <f>C26/B26%</f>
        <v>87</v>
      </c>
      <c r="E26" s="145">
        <f>B26-H26</f>
        <v>226000</v>
      </c>
      <c r="F26" s="145">
        <f>+C26-I26</f>
        <v>110000</v>
      </c>
      <c r="G26" s="189">
        <f>F26/E26%</f>
        <v>48.672566371681413</v>
      </c>
      <c r="H26" s="145">
        <f>+K26+N26+Q26+T26+W26+Z26+AC26+AF26+AI26+AL26+AO26</f>
        <v>274000</v>
      </c>
      <c r="I26" s="145">
        <f>+L26+O26+R26+U26+X26+AA26+AD26+AG26+AJ26+AM26+AP26</f>
        <v>325000</v>
      </c>
      <c r="J26" s="146">
        <f>I26/H26%</f>
        <v>118.61313868613139</v>
      </c>
      <c r="K26" s="145">
        <v>150000</v>
      </c>
      <c r="L26" s="145">
        <v>110000</v>
      </c>
      <c r="M26" s="189">
        <f>L26/K26%</f>
        <v>73.333333333333329</v>
      </c>
      <c r="N26" s="145">
        <v>30000</v>
      </c>
      <c r="O26" s="145">
        <v>37000</v>
      </c>
      <c r="P26" s="189">
        <f>O26/N26%</f>
        <v>123.33333333333333</v>
      </c>
      <c r="Q26" s="145">
        <v>20000</v>
      </c>
      <c r="R26" s="145">
        <v>48000</v>
      </c>
      <c r="S26" s="189">
        <f>R26/Q26%</f>
        <v>240</v>
      </c>
      <c r="T26" s="145">
        <v>10000</v>
      </c>
      <c r="U26" s="145">
        <v>25000</v>
      </c>
      <c r="V26" s="189">
        <f>U26/T26%</f>
        <v>250</v>
      </c>
      <c r="W26" s="145">
        <v>10000</v>
      </c>
      <c r="X26" s="145">
        <v>27000</v>
      </c>
      <c r="Y26" s="189">
        <f>X26/W26%</f>
        <v>270</v>
      </c>
      <c r="Z26" s="145">
        <v>10000</v>
      </c>
      <c r="AA26" s="145">
        <v>10000</v>
      </c>
      <c r="AB26" s="189">
        <f>AA26/Z26%</f>
        <v>100</v>
      </c>
      <c r="AC26" s="145">
        <v>10000</v>
      </c>
      <c r="AD26" s="145">
        <v>10000</v>
      </c>
      <c r="AE26" s="189">
        <f>AD26/AC26%</f>
        <v>100</v>
      </c>
      <c r="AF26" s="145">
        <v>15000</v>
      </c>
      <c r="AG26" s="145">
        <v>19000</v>
      </c>
      <c r="AH26" s="189">
        <f>AG26/AF26%</f>
        <v>126.66666666666667</v>
      </c>
      <c r="AI26" s="145">
        <v>8000</v>
      </c>
      <c r="AJ26" s="145">
        <v>14000</v>
      </c>
      <c r="AK26" s="189">
        <f>AJ26/AI26%</f>
        <v>175</v>
      </c>
      <c r="AL26" s="145">
        <v>6000</v>
      </c>
      <c r="AM26" s="145">
        <v>11000</v>
      </c>
      <c r="AN26" s="189">
        <f>AM26/AL26%</f>
        <v>183.33333333333334</v>
      </c>
      <c r="AO26" s="145">
        <v>5000</v>
      </c>
      <c r="AP26" s="145">
        <v>14000</v>
      </c>
      <c r="AQ26" s="189">
        <f>AP26/AO26%</f>
        <v>280</v>
      </c>
    </row>
    <row r="27" spans="1:43" s="88" customFormat="1" ht="15.75" customHeight="1" x14ac:dyDescent="0.25">
      <c r="A27" s="188" t="s">
        <v>12</v>
      </c>
      <c r="B27" s="145">
        <v>60000</v>
      </c>
      <c r="C27" s="145">
        <f>68000+5000</f>
        <v>73000</v>
      </c>
      <c r="D27" s="146">
        <f>C27/B27%</f>
        <v>121.66666666666667</v>
      </c>
      <c r="E27" s="145">
        <f>B27-H27</f>
        <v>56541</v>
      </c>
      <c r="F27" s="145">
        <f>+C27-I27</f>
        <v>64490</v>
      </c>
      <c r="G27" s="189">
        <f>F27/E27%</f>
        <v>114.05882456978122</v>
      </c>
      <c r="H27" s="145">
        <f>+K27+N27+Q27+T27+W27+Z27+AC27+AF27+AI27+AL27+AO27</f>
        <v>3459</v>
      </c>
      <c r="I27" s="145">
        <f>+L27+O27+R27+U27+X27+AA27+AD27+AG27+AJ27+AM27+AP27</f>
        <v>8510</v>
      </c>
      <c r="J27" s="146">
        <f>I27/H27%</f>
        <v>246.02486267707428</v>
      </c>
      <c r="K27" s="145">
        <v>980</v>
      </c>
      <c r="L27" s="145">
        <v>3000</v>
      </c>
      <c r="M27" s="191">
        <f>L27/K27%</f>
        <v>306.12244897959181</v>
      </c>
      <c r="N27" s="145">
        <v>350</v>
      </c>
      <c r="O27" s="145">
        <v>1400</v>
      </c>
      <c r="P27" s="189">
        <f>O27/N27%</f>
        <v>400</v>
      </c>
      <c r="Q27" s="145">
        <v>260</v>
      </c>
      <c r="R27" s="145">
        <v>500</v>
      </c>
      <c r="S27" s="191">
        <f>R27/Q27%</f>
        <v>192.30769230769229</v>
      </c>
      <c r="T27" s="145">
        <v>500</v>
      </c>
      <c r="U27" s="145">
        <v>1000</v>
      </c>
      <c r="V27" s="189">
        <f>U27/T27%</f>
        <v>200</v>
      </c>
      <c r="W27" s="145">
        <v>500</v>
      </c>
      <c r="X27" s="145">
        <v>400</v>
      </c>
      <c r="Y27" s="191">
        <f>X27/W27%</f>
        <v>80</v>
      </c>
      <c r="Z27" s="145">
        <v>169</v>
      </c>
      <c r="AA27" s="145">
        <v>400</v>
      </c>
      <c r="AB27" s="191">
        <f>AA27/Z27%</f>
        <v>236.68639053254438</v>
      </c>
      <c r="AC27" s="145">
        <v>60</v>
      </c>
      <c r="AD27" s="145">
        <v>600</v>
      </c>
      <c r="AE27" s="191">
        <f>AD27/AC27%</f>
        <v>1000</v>
      </c>
      <c r="AF27" s="145">
        <v>0</v>
      </c>
      <c r="AG27" s="145">
        <v>100</v>
      </c>
      <c r="AH27" s="191"/>
      <c r="AI27" s="145">
        <v>600</v>
      </c>
      <c r="AJ27" s="145">
        <v>1000</v>
      </c>
      <c r="AK27" s="191">
        <f>AJ27/AI27%</f>
        <v>166.66666666666666</v>
      </c>
      <c r="AL27" s="145">
        <v>0</v>
      </c>
      <c r="AM27" s="145">
        <v>50</v>
      </c>
      <c r="AN27" s="191">
        <v>12.509</v>
      </c>
      <c r="AO27" s="145">
        <v>40</v>
      </c>
      <c r="AP27" s="145">
        <v>60</v>
      </c>
      <c r="AQ27" s="191">
        <f>AP27/AO27%</f>
        <v>150</v>
      </c>
    </row>
    <row r="28" spans="1:43" s="88" customFormat="1" x14ac:dyDescent="0.25">
      <c r="A28" s="190" t="s">
        <v>102</v>
      </c>
      <c r="B28" s="148"/>
      <c r="C28" s="148"/>
      <c r="D28" s="149"/>
      <c r="E28" s="148"/>
      <c r="F28" s="148"/>
      <c r="G28" s="191"/>
      <c r="H28" s="148">
        <f>+K28+N28+Q28+T28+W28+Z28+AC28+AF28+AI28+AL28+AO28</f>
        <v>0</v>
      </c>
      <c r="I28" s="148"/>
      <c r="J28" s="149"/>
      <c r="K28" s="148"/>
      <c r="L28" s="148">
        <v>150</v>
      </c>
      <c r="M28" s="191"/>
      <c r="N28" s="148"/>
      <c r="O28" s="148">
        <v>500</v>
      </c>
      <c r="P28" s="191"/>
      <c r="Q28" s="148"/>
      <c r="R28" s="148">
        <v>200</v>
      </c>
      <c r="S28" s="191"/>
      <c r="T28" s="148"/>
      <c r="U28" s="148">
        <v>3000</v>
      </c>
      <c r="V28" s="191"/>
      <c r="W28" s="148"/>
      <c r="X28" s="148"/>
      <c r="Y28" s="191"/>
      <c r="Z28" s="148"/>
      <c r="AA28" s="148"/>
      <c r="AB28" s="191"/>
      <c r="AC28" s="148"/>
      <c r="AD28" s="148"/>
      <c r="AE28" s="191"/>
      <c r="AF28" s="148"/>
      <c r="AG28" s="148"/>
      <c r="AH28" s="191"/>
      <c r="AI28" s="148"/>
      <c r="AJ28" s="148"/>
      <c r="AK28" s="191"/>
      <c r="AL28" s="148"/>
      <c r="AM28" s="148">
        <v>20</v>
      </c>
      <c r="AN28" s="191"/>
      <c r="AO28" s="148"/>
      <c r="AP28" s="148">
        <v>30</v>
      </c>
      <c r="AQ28" s="191"/>
    </row>
    <row r="29" spans="1:43" s="89" customFormat="1" x14ac:dyDescent="0.25">
      <c r="A29" s="188" t="s">
        <v>167</v>
      </c>
      <c r="B29" s="145">
        <v>2300</v>
      </c>
      <c r="C29" s="145">
        <v>6000</v>
      </c>
      <c r="D29" s="146">
        <f>C29/B29%</f>
        <v>260.86956521739131</v>
      </c>
      <c r="E29" s="145">
        <f>B29-H29</f>
        <v>0</v>
      </c>
      <c r="F29" s="145">
        <f>+C29-I29</f>
        <v>0</v>
      </c>
      <c r="G29" s="189"/>
      <c r="H29" s="145">
        <f>+K29+N29+Q29+T29+W29+Z29+AC29+AF29+AI29+AL29+AO29</f>
        <v>2300</v>
      </c>
      <c r="I29" s="145">
        <f>+L29+O29+R29+U29+X29+AA29+AD29+AG29+AJ29+AM29+AP29</f>
        <v>6000</v>
      </c>
      <c r="J29" s="146">
        <f>I29/H29%</f>
        <v>260.86956521739131</v>
      </c>
      <c r="K29" s="145">
        <v>2180</v>
      </c>
      <c r="L29" s="145">
        <v>5890</v>
      </c>
      <c r="M29" s="189">
        <f>L29/K29%</f>
        <v>270.18348623853211</v>
      </c>
      <c r="N29" s="145">
        <v>0</v>
      </c>
      <c r="O29" s="145">
        <v>20</v>
      </c>
      <c r="P29" s="189"/>
      <c r="Q29" s="145">
        <v>0</v>
      </c>
      <c r="R29" s="145"/>
      <c r="S29" s="189"/>
      <c r="T29" s="145">
        <v>0</v>
      </c>
      <c r="U29" s="145"/>
      <c r="V29" s="189"/>
      <c r="W29" s="145">
        <v>0</v>
      </c>
      <c r="X29" s="145">
        <v>0</v>
      </c>
      <c r="Y29" s="189"/>
      <c r="Z29" s="145">
        <v>0</v>
      </c>
      <c r="AA29" s="145">
        <v>0</v>
      </c>
      <c r="AB29" s="189"/>
      <c r="AC29" s="145">
        <v>0</v>
      </c>
      <c r="AD29" s="145">
        <v>50</v>
      </c>
      <c r="AE29" s="189"/>
      <c r="AF29" s="145">
        <v>0</v>
      </c>
      <c r="AG29" s="145"/>
      <c r="AH29" s="189">
        <v>0</v>
      </c>
      <c r="AI29" s="145">
        <v>0</v>
      </c>
      <c r="AJ29" s="145"/>
      <c r="AK29" s="189"/>
      <c r="AL29" s="145">
        <v>0</v>
      </c>
      <c r="AM29" s="145"/>
      <c r="AN29" s="189"/>
      <c r="AO29" s="145">
        <v>120</v>
      </c>
      <c r="AP29" s="145">
        <v>40</v>
      </c>
      <c r="AQ29" s="189">
        <f>AP29/AO29%</f>
        <v>33.333333333333336</v>
      </c>
    </row>
    <row r="30" spans="1:43" s="91" customFormat="1" x14ac:dyDescent="0.25">
      <c r="A30" s="188" t="s">
        <v>168</v>
      </c>
      <c r="B30" s="145">
        <f>+B31+B32</f>
        <v>290000</v>
      </c>
      <c r="C30" s="145">
        <f>+C31+C32</f>
        <v>459000</v>
      </c>
      <c r="D30" s="146">
        <f>C30/B30%</f>
        <v>158.27586206896552</v>
      </c>
      <c r="E30" s="145">
        <f>B30-H30</f>
        <v>141975</v>
      </c>
      <c r="F30" s="145">
        <f>+C30-I30</f>
        <v>101410</v>
      </c>
      <c r="G30" s="189">
        <f>F30/E30%</f>
        <v>71.42806832188765</v>
      </c>
      <c r="H30" s="145">
        <f>+K30+N30+Q30+T30+W30+Z30+AC30+AF30+AI30+AL30+AO30</f>
        <v>148025</v>
      </c>
      <c r="I30" s="145">
        <f>+L30+O30+R30+U30+X30+AA30+AD30+AG30+AJ30+AM30+AP30</f>
        <v>357590</v>
      </c>
      <c r="J30" s="146">
        <f>I30/H30%</f>
        <v>241.57405843607498</v>
      </c>
      <c r="K30" s="145">
        <f>+K31+K32</f>
        <v>25000</v>
      </c>
      <c r="L30" s="145">
        <f>+L31+L32</f>
        <v>117900</v>
      </c>
      <c r="M30" s="189">
        <f>L30/K30%</f>
        <v>471.6</v>
      </c>
      <c r="N30" s="145">
        <f>+N31+N32</f>
        <v>11100</v>
      </c>
      <c r="O30" s="145">
        <f>+O31+O32</f>
        <v>36180</v>
      </c>
      <c r="P30" s="189">
        <f>O30/N30%</f>
        <v>325.94594594594594</v>
      </c>
      <c r="Q30" s="145">
        <f>+Q31+Q32</f>
        <v>13300</v>
      </c>
      <c r="R30" s="145">
        <f>+R31+R32</f>
        <v>17600</v>
      </c>
      <c r="S30" s="189">
        <f>R30/Q30%</f>
        <v>132.33082706766916</v>
      </c>
      <c r="T30" s="145">
        <f>+T31+T32</f>
        <v>15000</v>
      </c>
      <c r="U30" s="145">
        <f>+U31+U32</f>
        <v>35380</v>
      </c>
      <c r="V30" s="189">
        <f>U30/T30%</f>
        <v>235.86666666666667</v>
      </c>
      <c r="W30" s="145">
        <f>+W31+W32</f>
        <v>19500</v>
      </c>
      <c r="X30" s="145">
        <f>+X31+X32</f>
        <v>31850</v>
      </c>
      <c r="Y30" s="189">
        <f>X30/W30%</f>
        <v>163.33333333333334</v>
      </c>
      <c r="Z30" s="145">
        <f>+Z31+Z32</f>
        <v>15135</v>
      </c>
      <c r="AA30" s="145">
        <f>+AA31+AA32</f>
        <v>26500</v>
      </c>
      <c r="AB30" s="189">
        <f>AA30/Z30%</f>
        <v>175.09084902543773</v>
      </c>
      <c r="AC30" s="145">
        <f>+AC31+AC32</f>
        <v>10000</v>
      </c>
      <c r="AD30" s="145">
        <f>+AD31+AD32</f>
        <v>20650</v>
      </c>
      <c r="AE30" s="189">
        <f>AD30/AC30%</f>
        <v>206.5</v>
      </c>
      <c r="AF30" s="145">
        <f>+AF31+AF32</f>
        <v>10000</v>
      </c>
      <c r="AG30" s="145">
        <f>+AG31+AG32</f>
        <v>23940</v>
      </c>
      <c r="AH30" s="189">
        <f>AG30/AF30%</f>
        <v>239.4</v>
      </c>
      <c r="AI30" s="145">
        <f>+AI31+AI32</f>
        <v>10000</v>
      </c>
      <c r="AJ30" s="145">
        <f>+AJ31+AJ32</f>
        <v>14200</v>
      </c>
      <c r="AK30" s="189">
        <f>AJ30/AI30%</f>
        <v>142</v>
      </c>
      <c r="AL30" s="145">
        <f>+AL31+AL32</f>
        <v>8000</v>
      </c>
      <c r="AM30" s="145">
        <f>+AM31+AM32</f>
        <v>21820</v>
      </c>
      <c r="AN30" s="189">
        <f>AM30/AL30%</f>
        <v>272.75</v>
      </c>
      <c r="AO30" s="145">
        <f>+AO31+AO32</f>
        <v>10990</v>
      </c>
      <c r="AP30" s="145">
        <f>+AP31+AP32</f>
        <v>11570</v>
      </c>
      <c r="AQ30" s="189">
        <f>AP30/AO30%</f>
        <v>105.27752502274795</v>
      </c>
    </row>
    <row r="31" spans="1:43" s="91" customFormat="1" x14ac:dyDescent="0.25">
      <c r="A31" s="188" t="s">
        <v>13</v>
      </c>
      <c r="B31" s="145">
        <v>92000</v>
      </c>
      <c r="C31" s="145">
        <v>150000</v>
      </c>
      <c r="D31" s="146">
        <f>C31/B31%</f>
        <v>163.04347826086956</v>
      </c>
      <c r="E31" s="145">
        <f>B31-H31</f>
        <v>59000</v>
      </c>
      <c r="F31" s="145">
        <f>+C31-I31</f>
        <v>53000</v>
      </c>
      <c r="G31" s="189">
        <f>F31/E31%</f>
        <v>89.830508474576277</v>
      </c>
      <c r="H31" s="145">
        <f>+K31+N31+Q31+T31+W31+Z31+AC31+AF31+AI31+AL31+AO31</f>
        <v>33000</v>
      </c>
      <c r="I31" s="145">
        <f>+L31+O31+R31+U31+X31+AA31+AD31+AG31+AJ31+AM31+AP31</f>
        <v>97000</v>
      </c>
      <c r="J31" s="146">
        <f>I31/H31%</f>
        <v>293.93939393939394</v>
      </c>
      <c r="K31" s="145">
        <v>6000</v>
      </c>
      <c r="L31" s="145">
        <v>15000</v>
      </c>
      <c r="M31" s="189">
        <f>L31/K31%</f>
        <v>250</v>
      </c>
      <c r="N31" s="145">
        <v>3300</v>
      </c>
      <c r="O31" s="145">
        <v>14000</v>
      </c>
      <c r="P31" s="189">
        <f>O31/N31%</f>
        <v>424.24242424242425</v>
      </c>
      <c r="Q31" s="145">
        <v>3200</v>
      </c>
      <c r="R31" s="145">
        <v>7500</v>
      </c>
      <c r="S31" s="189">
        <f>R31/Q31%</f>
        <v>234.375</v>
      </c>
      <c r="T31" s="145">
        <v>2500</v>
      </c>
      <c r="U31" s="145">
        <v>10000</v>
      </c>
      <c r="V31" s="189">
        <f>U31/T31%</f>
        <v>400</v>
      </c>
      <c r="W31" s="145">
        <v>2300</v>
      </c>
      <c r="X31" s="145">
        <v>7000</v>
      </c>
      <c r="Y31" s="189">
        <f>X31/W31%</f>
        <v>304.3478260869565</v>
      </c>
      <c r="Z31" s="145">
        <v>3300</v>
      </c>
      <c r="AA31" s="145">
        <v>8000</v>
      </c>
      <c r="AB31" s="189">
        <f>AA31/Z31%</f>
        <v>242.42424242424244</v>
      </c>
      <c r="AC31" s="145">
        <v>1500</v>
      </c>
      <c r="AD31" s="145">
        <v>6000</v>
      </c>
      <c r="AE31" s="189">
        <f>AD31/AC31%</f>
        <v>400</v>
      </c>
      <c r="AF31" s="145">
        <v>2000</v>
      </c>
      <c r="AG31" s="145">
        <v>8000</v>
      </c>
      <c r="AH31" s="189">
        <f>AG31/AF31%</f>
        <v>400</v>
      </c>
      <c r="AI31" s="145">
        <v>3000</v>
      </c>
      <c r="AJ31" s="145">
        <v>7000</v>
      </c>
      <c r="AK31" s="189">
        <f>AJ31/AI31%</f>
        <v>233.33333333333334</v>
      </c>
      <c r="AL31" s="145">
        <v>3600</v>
      </c>
      <c r="AM31" s="145">
        <v>9000</v>
      </c>
      <c r="AN31" s="189">
        <f>AM31/AL31%</f>
        <v>250</v>
      </c>
      <c r="AO31" s="145">
        <v>2300</v>
      </c>
      <c r="AP31" s="145">
        <v>5500</v>
      </c>
      <c r="AQ31" s="189">
        <f>AP31/AO31%</f>
        <v>239.13043478260869</v>
      </c>
    </row>
    <row r="32" spans="1:43" s="91" customFormat="1" x14ac:dyDescent="0.25">
      <c r="A32" s="188" t="s">
        <v>14</v>
      </c>
      <c r="B32" s="145">
        <v>198000</v>
      </c>
      <c r="C32" s="145">
        <f>300000+9000</f>
        <v>309000</v>
      </c>
      <c r="D32" s="146">
        <f>C32/B32%</f>
        <v>156.06060606060606</v>
      </c>
      <c r="E32" s="145">
        <f>B32-H32</f>
        <v>82975</v>
      </c>
      <c r="F32" s="145">
        <f>+C32-I32</f>
        <v>48410</v>
      </c>
      <c r="G32" s="189">
        <f>F32/E32%</f>
        <v>58.342874359746915</v>
      </c>
      <c r="H32" s="145">
        <f>+K32+N32+Q32+T32+W32+Z32+AC32+AF32+AI32+AL32+AO32</f>
        <v>115025</v>
      </c>
      <c r="I32" s="145">
        <f>+L32+O32+R32+U32+X32+AA32+AD32+AG32+AJ32+AM32+AP32</f>
        <v>260590</v>
      </c>
      <c r="J32" s="146">
        <f>I32/H32%</f>
        <v>226.55074983699197</v>
      </c>
      <c r="K32" s="145">
        <v>19000</v>
      </c>
      <c r="L32" s="145">
        <v>102900</v>
      </c>
      <c r="M32" s="189">
        <f>L32/K32%</f>
        <v>541.57894736842104</v>
      </c>
      <c r="N32" s="145">
        <v>7800</v>
      </c>
      <c r="O32" s="145">
        <v>22180</v>
      </c>
      <c r="P32" s="189">
        <f>O32/N32%</f>
        <v>284.35897435897436</v>
      </c>
      <c r="Q32" s="145">
        <v>10100</v>
      </c>
      <c r="R32" s="145">
        <v>10100</v>
      </c>
      <c r="S32" s="189">
        <f>R32/Q32%</f>
        <v>100</v>
      </c>
      <c r="T32" s="145">
        <v>12500</v>
      </c>
      <c r="U32" s="145">
        <v>25380</v>
      </c>
      <c r="V32" s="189">
        <f>U32/T32%</f>
        <v>203.04</v>
      </c>
      <c r="W32" s="145">
        <v>17200</v>
      </c>
      <c r="X32" s="145">
        <v>24850</v>
      </c>
      <c r="Y32" s="189">
        <f>X32/W32%</f>
        <v>144.47674418604652</v>
      </c>
      <c r="Z32" s="145">
        <v>11835</v>
      </c>
      <c r="AA32" s="145">
        <v>18500</v>
      </c>
      <c r="AB32" s="189">
        <f>AA32/Z32%</f>
        <v>156.31601182931982</v>
      </c>
      <c r="AC32" s="145">
        <v>8500</v>
      </c>
      <c r="AD32" s="145">
        <v>14650</v>
      </c>
      <c r="AE32" s="189">
        <f>AD32/AC32%</f>
        <v>172.35294117647058</v>
      </c>
      <c r="AF32" s="145">
        <v>8000</v>
      </c>
      <c r="AG32" s="145">
        <v>15940</v>
      </c>
      <c r="AH32" s="189">
        <f>AG32/AF32%</f>
        <v>199.25</v>
      </c>
      <c r="AI32" s="145">
        <v>7000</v>
      </c>
      <c r="AJ32" s="145">
        <v>7200</v>
      </c>
      <c r="AK32" s="189">
        <f>AJ32/AI32%</f>
        <v>102.85714285714286</v>
      </c>
      <c r="AL32" s="145">
        <v>4400</v>
      </c>
      <c r="AM32" s="145">
        <v>12820</v>
      </c>
      <c r="AN32" s="189">
        <f>AM32/AL32%</f>
        <v>291.36363636363637</v>
      </c>
      <c r="AO32" s="145">
        <v>8690</v>
      </c>
      <c r="AP32" s="145">
        <v>6070</v>
      </c>
      <c r="AQ32" s="189">
        <f>AP32/AO32%</f>
        <v>69.850402761795166</v>
      </c>
    </row>
    <row r="33" spans="1:43" s="87" customFormat="1" x14ac:dyDescent="0.25">
      <c r="A33" s="190" t="s">
        <v>102</v>
      </c>
      <c r="B33" s="148"/>
      <c r="C33" s="148"/>
      <c r="D33" s="149"/>
      <c r="E33" s="148"/>
      <c r="F33" s="148"/>
      <c r="G33" s="189"/>
      <c r="H33" s="148">
        <f>+K33+N33+Q33+T33+W33+Z33+AC33+AF33+AI33+AL33+AO33</f>
        <v>0</v>
      </c>
      <c r="I33" s="148"/>
      <c r="J33" s="149"/>
      <c r="K33" s="148"/>
      <c r="L33" s="148">
        <v>22000</v>
      </c>
      <c r="M33" s="189"/>
      <c r="N33" s="148"/>
      <c r="O33" s="148">
        <v>5200</v>
      </c>
      <c r="P33" s="189"/>
      <c r="Q33" s="148"/>
      <c r="R33" s="148">
        <v>600</v>
      </c>
      <c r="S33" s="189"/>
      <c r="T33" s="148"/>
      <c r="U33" s="148">
        <v>1100</v>
      </c>
      <c r="V33" s="189"/>
      <c r="W33" s="148"/>
      <c r="X33" s="148">
        <v>1200</v>
      </c>
      <c r="Y33" s="189"/>
      <c r="Z33" s="148"/>
      <c r="AA33" s="148">
        <v>600</v>
      </c>
      <c r="AB33" s="189"/>
      <c r="AC33" s="148"/>
      <c r="AD33" s="148">
        <v>400</v>
      </c>
      <c r="AE33" s="189"/>
      <c r="AF33" s="148"/>
      <c r="AG33" s="148">
        <v>2000</v>
      </c>
      <c r="AH33" s="189"/>
      <c r="AI33" s="148"/>
      <c r="AJ33" s="148">
        <v>600</v>
      </c>
      <c r="AK33" s="189"/>
      <c r="AL33" s="148"/>
      <c r="AM33" s="148">
        <v>150</v>
      </c>
      <c r="AN33" s="189"/>
      <c r="AO33" s="148"/>
      <c r="AP33" s="148">
        <v>700</v>
      </c>
      <c r="AQ33" s="189"/>
    </row>
    <row r="34" spans="1:43" s="88" customFormat="1" x14ac:dyDescent="0.25">
      <c r="A34" s="188" t="s">
        <v>169</v>
      </c>
      <c r="B34" s="145">
        <v>18000</v>
      </c>
      <c r="C34" s="145">
        <v>59000</v>
      </c>
      <c r="D34" s="146">
        <f>C34/B34%</f>
        <v>327.77777777777777</v>
      </c>
      <c r="E34" s="145">
        <f>B34-H34</f>
        <v>18000</v>
      </c>
      <c r="F34" s="145">
        <f>+C34-I34</f>
        <v>58900</v>
      </c>
      <c r="G34" s="189">
        <f>F34/E34%</f>
        <v>327.22222222222223</v>
      </c>
      <c r="H34" s="145">
        <f>+K34+N34+Q34+T34+W34+Z34+AC34+AF34+AI34+AL34+AO34</f>
        <v>0</v>
      </c>
      <c r="I34" s="145">
        <f>+L34+O34+R34+U34+X34+AA34+AD34+AG34+AJ34+AM34+AP34</f>
        <v>100</v>
      </c>
      <c r="J34" s="146"/>
      <c r="K34" s="145">
        <v>0</v>
      </c>
      <c r="L34" s="145"/>
      <c r="M34" s="191"/>
      <c r="N34" s="145">
        <v>0</v>
      </c>
      <c r="O34" s="145"/>
      <c r="P34" s="191"/>
      <c r="Q34" s="145">
        <v>0</v>
      </c>
      <c r="R34" s="145"/>
      <c r="S34" s="191"/>
      <c r="T34" s="145">
        <v>0</v>
      </c>
      <c r="U34" s="145">
        <v>100</v>
      </c>
      <c r="V34" s="191"/>
      <c r="W34" s="145">
        <v>0</v>
      </c>
      <c r="X34" s="145"/>
      <c r="Y34" s="191"/>
      <c r="Z34" s="145">
        <v>0</v>
      </c>
      <c r="AA34" s="145"/>
      <c r="AB34" s="191"/>
      <c r="AC34" s="145">
        <v>0</v>
      </c>
      <c r="AD34" s="145"/>
      <c r="AE34" s="191"/>
      <c r="AF34" s="145">
        <v>0</v>
      </c>
      <c r="AG34" s="145"/>
      <c r="AH34" s="191"/>
      <c r="AI34" s="145">
        <v>0</v>
      </c>
      <c r="AJ34" s="145"/>
      <c r="AK34" s="191"/>
      <c r="AL34" s="145">
        <v>0</v>
      </c>
      <c r="AM34" s="145"/>
      <c r="AN34" s="191"/>
      <c r="AO34" s="145">
        <v>0</v>
      </c>
      <c r="AP34" s="145"/>
      <c r="AQ34" s="191"/>
    </row>
    <row r="35" spans="1:43" s="87" customFormat="1" x14ac:dyDescent="0.25">
      <c r="A35" s="188" t="s">
        <v>170</v>
      </c>
      <c r="B35" s="145">
        <v>120000</v>
      </c>
      <c r="C35" s="145">
        <v>125000</v>
      </c>
      <c r="D35" s="146">
        <f>C35/B35%</f>
        <v>104.16666666666667</v>
      </c>
      <c r="E35" s="145">
        <f>B35-H35</f>
        <v>120000</v>
      </c>
      <c r="F35" s="145">
        <f>+C35-I35</f>
        <v>125000</v>
      </c>
      <c r="G35" s="189">
        <f>F35/E35%</f>
        <v>104.16666666666667</v>
      </c>
      <c r="H35" s="145">
        <f>+K35+N35+Q35+T35+W35+Z35+AC35+AF35+AI35+AL35+AO35</f>
        <v>0</v>
      </c>
      <c r="I35" s="145">
        <f>+L35+O35+R35+U35+X35+AA35+AD35+AG35+AJ35+AM35+AP35</f>
        <v>0</v>
      </c>
      <c r="J35" s="146"/>
      <c r="K35" s="145">
        <v>0</v>
      </c>
      <c r="L35" s="145"/>
      <c r="M35" s="189"/>
      <c r="N35" s="145">
        <v>0</v>
      </c>
      <c r="O35" s="145"/>
      <c r="P35" s="189"/>
      <c r="Q35" s="145">
        <v>0</v>
      </c>
      <c r="R35" s="145"/>
      <c r="S35" s="189"/>
      <c r="T35" s="145">
        <v>0</v>
      </c>
      <c r="U35" s="145"/>
      <c r="V35" s="189"/>
      <c r="W35" s="145">
        <v>0</v>
      </c>
      <c r="X35" s="145"/>
      <c r="Y35" s="189"/>
      <c r="Z35" s="145">
        <v>0</v>
      </c>
      <c r="AA35" s="145"/>
      <c r="AB35" s="189"/>
      <c r="AC35" s="145">
        <v>0</v>
      </c>
      <c r="AD35" s="145"/>
      <c r="AE35" s="189"/>
      <c r="AF35" s="145">
        <v>0</v>
      </c>
      <c r="AG35" s="145"/>
      <c r="AH35" s="189"/>
      <c r="AI35" s="145">
        <v>0</v>
      </c>
      <c r="AJ35" s="145"/>
      <c r="AK35" s="189"/>
      <c r="AL35" s="145">
        <v>0</v>
      </c>
      <c r="AM35" s="145"/>
      <c r="AN35" s="189"/>
      <c r="AO35" s="145">
        <v>0</v>
      </c>
      <c r="AP35" s="145"/>
      <c r="AQ35" s="189"/>
    </row>
    <row r="36" spans="1:43" s="87" customFormat="1" x14ac:dyDescent="0.25">
      <c r="A36" s="188" t="s">
        <v>171</v>
      </c>
      <c r="B36" s="145">
        <v>1700000</v>
      </c>
      <c r="C36" s="145">
        <v>1780000</v>
      </c>
      <c r="D36" s="146">
        <f>C36/B36%</f>
        <v>104.70588235294117</v>
      </c>
      <c r="E36" s="145">
        <f>B36-H36</f>
        <v>1700000</v>
      </c>
      <c r="F36" s="145">
        <f>+C36-I36</f>
        <v>1780000</v>
      </c>
      <c r="G36" s="189">
        <f>F36/E36%</f>
        <v>104.70588235294117</v>
      </c>
      <c r="H36" s="145">
        <f>+K36+N36+Q36+T36+W36+Z36+AC36+AF36+AI36+AL36+AO36</f>
        <v>0</v>
      </c>
      <c r="I36" s="145">
        <f>+L36+O36+R36+U36+X36+AA36+AD36+AG36+AJ36+AM36+AP36</f>
        <v>0</v>
      </c>
      <c r="J36" s="146"/>
      <c r="K36" s="145">
        <v>0</v>
      </c>
      <c r="L36" s="145"/>
      <c r="M36" s="189"/>
      <c r="N36" s="145">
        <v>0</v>
      </c>
      <c r="O36" s="145"/>
      <c r="P36" s="189"/>
      <c r="Q36" s="145">
        <v>0</v>
      </c>
      <c r="R36" s="145"/>
      <c r="S36" s="189"/>
      <c r="T36" s="145">
        <v>0</v>
      </c>
      <c r="U36" s="145"/>
      <c r="V36" s="189"/>
      <c r="W36" s="145">
        <v>0</v>
      </c>
      <c r="X36" s="145"/>
      <c r="Y36" s="189"/>
      <c r="Z36" s="145">
        <v>0</v>
      </c>
      <c r="AA36" s="145"/>
      <c r="AB36" s="189"/>
      <c r="AC36" s="145">
        <v>0</v>
      </c>
      <c r="AD36" s="145"/>
      <c r="AE36" s="189"/>
      <c r="AF36" s="145">
        <v>0</v>
      </c>
      <c r="AG36" s="145"/>
      <c r="AH36" s="189"/>
      <c r="AI36" s="145">
        <v>0</v>
      </c>
      <c r="AJ36" s="145"/>
      <c r="AK36" s="189"/>
      <c r="AL36" s="145">
        <v>0</v>
      </c>
      <c r="AM36" s="145"/>
      <c r="AN36" s="189"/>
      <c r="AO36" s="145">
        <v>0</v>
      </c>
      <c r="AP36" s="145"/>
      <c r="AQ36" s="189"/>
    </row>
    <row r="37" spans="1:43" s="92" customFormat="1" x14ac:dyDescent="0.25">
      <c r="A37" s="150" t="s">
        <v>39</v>
      </c>
      <c r="B37" s="151">
        <f t="shared" ref="B37" si="0">+B38+B47+B48</f>
        <v>18940716</v>
      </c>
      <c r="C37" s="151">
        <f>+C38+C47+C48</f>
        <v>19500176</v>
      </c>
      <c r="D37" s="152">
        <f>C37/B37%</f>
        <v>102.95374261458754</v>
      </c>
      <c r="E37" s="151">
        <f>B37-H37</f>
        <v>11009875</v>
      </c>
      <c r="F37" s="151">
        <f>+C37-I37</f>
        <v>10136676.459000001</v>
      </c>
      <c r="G37" s="182">
        <f>F37/E37%</f>
        <v>92.068951364116316</v>
      </c>
      <c r="H37" s="151">
        <f>+K37+N37+Q37+T37+W37+Z37+AC37+AF37+AI37+AL37+AO37</f>
        <v>7930841</v>
      </c>
      <c r="I37" s="151">
        <f>+L37+O37+R37+U37+X37+AA37+AD37+AG37+AJ37+AM37+AP37</f>
        <v>9363499.5409999993</v>
      </c>
      <c r="J37" s="152">
        <f>I37/H37%</f>
        <v>118.06439620968317</v>
      </c>
      <c r="K37" s="151">
        <f>+K38+K47+K48</f>
        <v>926962</v>
      </c>
      <c r="L37" s="151">
        <f>+L38+L47</f>
        <v>997500</v>
      </c>
      <c r="M37" s="182">
        <f>L37/K37%</f>
        <v>107.60958917409775</v>
      </c>
      <c r="N37" s="151">
        <f>+N38+N47</f>
        <v>483598</v>
      </c>
      <c r="O37" s="151">
        <f>+O38+O47</f>
        <v>584999.68000000005</v>
      </c>
      <c r="P37" s="182">
        <f>O37/N37%</f>
        <v>120.96817604704736</v>
      </c>
      <c r="Q37" s="151">
        <f>+Q38+Q47</f>
        <v>633768</v>
      </c>
      <c r="R37" s="151">
        <f>+R38+R47</f>
        <v>756000.27899999998</v>
      </c>
      <c r="S37" s="182">
        <f>R37/Q37%</f>
        <v>119.28659683038588</v>
      </c>
      <c r="T37" s="151">
        <f>+T38+T47</f>
        <v>1002647</v>
      </c>
      <c r="U37" s="151">
        <f>+U38+U47</f>
        <v>1120000.48</v>
      </c>
      <c r="V37" s="182">
        <f>U37/T37%</f>
        <v>111.70436654176396</v>
      </c>
      <c r="W37" s="151">
        <f>+W38+W47</f>
        <v>773615</v>
      </c>
      <c r="X37" s="151">
        <f>+X38+X47</f>
        <v>939000.09199999995</v>
      </c>
      <c r="Y37" s="182">
        <f>X37/W37%</f>
        <v>121.37821681327276</v>
      </c>
      <c r="Z37" s="151">
        <f>+Z38+Z47</f>
        <v>727407</v>
      </c>
      <c r="AA37" s="151">
        <f>+AA38+AA47</f>
        <v>830999.96</v>
      </c>
      <c r="AB37" s="182">
        <f>AA37/Z37%</f>
        <v>114.24140268103001</v>
      </c>
      <c r="AC37" s="151">
        <f>+AC38+AC47</f>
        <v>679635</v>
      </c>
      <c r="AD37" s="151">
        <f>+AD38+AD47</f>
        <v>792999.8</v>
      </c>
      <c r="AE37" s="182">
        <f>AD37/AC37%</f>
        <v>116.68024748578281</v>
      </c>
      <c r="AF37" s="151">
        <f>+AF38+AF47</f>
        <v>723957</v>
      </c>
      <c r="AG37" s="151">
        <f>+AG38+AG47</f>
        <v>805999.97</v>
      </c>
      <c r="AH37" s="182">
        <f>AG37/AF37%</f>
        <v>111.33257500100144</v>
      </c>
      <c r="AI37" s="151">
        <f>+AI38+AI47</f>
        <v>687697</v>
      </c>
      <c r="AJ37" s="151">
        <f>+AJ38+AJ47</f>
        <v>985999.84</v>
      </c>
      <c r="AK37" s="182">
        <f>AJ37/AI37%</f>
        <v>143.37707449647155</v>
      </c>
      <c r="AL37" s="151">
        <f>+AL38+AL47</f>
        <v>642549</v>
      </c>
      <c r="AM37" s="151">
        <f>+AM38+AM47</f>
        <v>754999.6</v>
      </c>
      <c r="AN37" s="182">
        <f>AM37/AL37%</f>
        <v>117.50070422644809</v>
      </c>
      <c r="AO37" s="151">
        <f>+AO38+AO47</f>
        <v>649006</v>
      </c>
      <c r="AP37" s="151">
        <f>+AP38+AP47</f>
        <v>794999.84</v>
      </c>
      <c r="AQ37" s="182">
        <f>AP37/AO37%</f>
        <v>122.4949908013177</v>
      </c>
    </row>
    <row r="38" spans="1:43" s="92" customFormat="1" x14ac:dyDescent="0.25">
      <c r="A38" s="153" t="s">
        <v>173</v>
      </c>
      <c r="B38" s="151">
        <f>+B41+B45+B46</f>
        <v>14735822</v>
      </c>
      <c r="C38" s="151">
        <f>+C41+C45+C46</f>
        <v>15295282</v>
      </c>
      <c r="D38" s="152">
        <f>C38/B38%</f>
        <v>103.796598520259</v>
      </c>
      <c r="E38" s="151">
        <f>B38-H38</f>
        <v>6807133</v>
      </c>
      <c r="F38" s="151">
        <f>+C38-I38</f>
        <v>6991423</v>
      </c>
      <c r="G38" s="182">
        <f>F38/E38%</f>
        <v>102.7073071732255</v>
      </c>
      <c r="H38" s="151">
        <f>+K38+N38+Q38+T38+W38+Z38+AC38+AF38+AI38+AL38+AO38</f>
        <v>7928689</v>
      </c>
      <c r="I38" s="151">
        <f>+L38+O38+R38+U38+X38+AA38+AD38+AG38+AJ38+AM38+AP38</f>
        <v>8303859</v>
      </c>
      <c r="J38" s="152">
        <f>I38/H38%</f>
        <v>104.73180370676666</v>
      </c>
      <c r="K38" s="151">
        <f>+K41+K45+K46</f>
        <v>926731</v>
      </c>
      <c r="L38" s="151">
        <f>+L41+L45+L46</f>
        <v>976251</v>
      </c>
      <c r="M38" s="182">
        <f>L38/K38%</f>
        <v>105.34351392151552</v>
      </c>
      <c r="N38" s="151">
        <f>+N41+N45+N46</f>
        <v>483367</v>
      </c>
      <c r="O38" s="151">
        <f>+O41+O45+O46</f>
        <v>529217</v>
      </c>
      <c r="P38" s="182">
        <f>O38/N38%</f>
        <v>109.48554617919717</v>
      </c>
      <c r="Q38" s="151">
        <f>+Q41+Q45+Q46</f>
        <v>633561</v>
      </c>
      <c r="R38" s="151">
        <f>+R41+R45+R46</f>
        <v>680921</v>
      </c>
      <c r="S38" s="182">
        <f>R38/Q38%</f>
        <v>107.47520759642718</v>
      </c>
      <c r="T38" s="151">
        <f>+T41+T45+T46</f>
        <v>1002416</v>
      </c>
      <c r="U38" s="151">
        <f>+U41+U45+U46</f>
        <v>1040216</v>
      </c>
      <c r="V38" s="182">
        <f>U38/T38%</f>
        <v>103.77088953089336</v>
      </c>
      <c r="W38" s="151">
        <f>+W41+W45+W46</f>
        <v>773452</v>
      </c>
      <c r="X38" s="151">
        <f>+X41+X45+X46</f>
        <v>803472</v>
      </c>
      <c r="Y38" s="182">
        <f>X38/W38%</f>
        <v>103.88130097278176</v>
      </c>
      <c r="Z38" s="151">
        <f>+Z41+Z45+Z46</f>
        <v>727176</v>
      </c>
      <c r="AA38" s="151">
        <f>+AA41+AA45+AA46</f>
        <v>749426</v>
      </c>
      <c r="AB38" s="182">
        <f>AA38/Z38%</f>
        <v>103.05978195099948</v>
      </c>
      <c r="AC38" s="151">
        <f>+AC41+AC45+AC46</f>
        <v>679404</v>
      </c>
      <c r="AD38" s="151">
        <f>+AD41+AD45+AD46</f>
        <v>698894</v>
      </c>
      <c r="AE38" s="182">
        <f>AD38/AC38%</f>
        <v>102.86869079369565</v>
      </c>
      <c r="AF38" s="151">
        <f>+AF41+AF45+AF46</f>
        <v>723794</v>
      </c>
      <c r="AG38" s="151">
        <f>+AG41+AG45+AG46</f>
        <v>739644</v>
      </c>
      <c r="AH38" s="182">
        <f>AG38/AF38%</f>
        <v>102.18984959809006</v>
      </c>
      <c r="AI38" s="151">
        <f>+AI41+AI45+AI46</f>
        <v>687558</v>
      </c>
      <c r="AJ38" s="151">
        <f>+AJ41+AJ45+AJ46</f>
        <v>752808</v>
      </c>
      <c r="AK38" s="182">
        <f>AJ38/AI38%</f>
        <v>109.49010847084901</v>
      </c>
      <c r="AL38" s="151">
        <f>+AL41+AL45+AL46</f>
        <v>642431</v>
      </c>
      <c r="AM38" s="151">
        <f>+AM41+AM45+AM46</f>
        <v>650131</v>
      </c>
      <c r="AN38" s="182">
        <f>AM38/AL38%</f>
        <v>101.19857229803667</v>
      </c>
      <c r="AO38" s="151">
        <f>+AO41+AO45+AO46</f>
        <v>648799</v>
      </c>
      <c r="AP38" s="151">
        <f>+AP41+AP45+AP46</f>
        <v>682879</v>
      </c>
      <c r="AQ38" s="182">
        <f>AP38/AO38%</f>
        <v>105.25278244880155</v>
      </c>
    </row>
    <row r="39" spans="1:43" s="92" customFormat="1" hidden="1" x14ac:dyDescent="0.25">
      <c r="A39" s="153" t="s">
        <v>103</v>
      </c>
      <c r="B39" s="151">
        <f>+B41+B45</f>
        <v>14460222</v>
      </c>
      <c r="C39" s="151">
        <f>+C41+C45</f>
        <v>15194422</v>
      </c>
      <c r="D39" s="152">
        <f>C39/B39%</f>
        <v>105.07737709697679</v>
      </c>
      <c r="E39" s="151">
        <f>B39-H39</f>
        <v>6531533</v>
      </c>
      <c r="F39" s="151">
        <f>+C39-I39</f>
        <v>6890563</v>
      </c>
      <c r="G39" s="182">
        <f>F39/E39%</f>
        <v>105.49687186759984</v>
      </c>
      <c r="H39" s="151">
        <f>+K39+N39+Q39+T39+W39+Z39+AC39+AF39+AI39+AL39+AO39</f>
        <v>7928689</v>
      </c>
      <c r="I39" s="151">
        <f>+L39+O39+R39+U39+X39+AA39+AD39+AG39+AJ39+AM39+AP39</f>
        <v>8303859</v>
      </c>
      <c r="J39" s="152">
        <f>I39/H39%</f>
        <v>104.73180370676666</v>
      </c>
      <c r="K39" s="151">
        <f>+K41+K45</f>
        <v>926731</v>
      </c>
      <c r="L39" s="151">
        <f>+L41+L45</f>
        <v>976251</v>
      </c>
      <c r="M39" s="182">
        <f>L39/K39%</f>
        <v>105.34351392151552</v>
      </c>
      <c r="N39" s="151">
        <f>+N41+N45</f>
        <v>483367</v>
      </c>
      <c r="O39" s="151">
        <f>+O41+O45</f>
        <v>529217</v>
      </c>
      <c r="P39" s="182">
        <f>O39/N39%</f>
        <v>109.48554617919717</v>
      </c>
      <c r="Q39" s="151">
        <f>+Q41+Q45</f>
        <v>633561</v>
      </c>
      <c r="R39" s="151">
        <f>+R41+R45</f>
        <v>680921</v>
      </c>
      <c r="S39" s="182">
        <f>R39/Q39%</f>
        <v>107.47520759642718</v>
      </c>
      <c r="T39" s="151">
        <f>+T41+T45</f>
        <v>1002416</v>
      </c>
      <c r="U39" s="151">
        <f>+U41+U45</f>
        <v>1040216</v>
      </c>
      <c r="V39" s="182">
        <f>U39/T39%</f>
        <v>103.77088953089336</v>
      </c>
      <c r="W39" s="151">
        <f>+W41+W45</f>
        <v>773452</v>
      </c>
      <c r="X39" s="151">
        <f>+X41+X45</f>
        <v>803472</v>
      </c>
      <c r="Y39" s="182">
        <f>X39/W39%</f>
        <v>103.88130097278176</v>
      </c>
      <c r="Z39" s="151">
        <f>+Z41+Z45</f>
        <v>727176</v>
      </c>
      <c r="AA39" s="151">
        <f>+AA41+AA45</f>
        <v>749426</v>
      </c>
      <c r="AB39" s="182">
        <f>AA39/Z39%</f>
        <v>103.05978195099948</v>
      </c>
      <c r="AC39" s="151">
        <f>+AC41+AC45</f>
        <v>679404</v>
      </c>
      <c r="AD39" s="151">
        <f>+AD41+AD45</f>
        <v>698894</v>
      </c>
      <c r="AE39" s="182">
        <f>AD39/AC39%</f>
        <v>102.86869079369565</v>
      </c>
      <c r="AF39" s="151">
        <f>+AF41+AF45</f>
        <v>723794</v>
      </c>
      <c r="AG39" s="151">
        <f>+AG41+AG45</f>
        <v>739644</v>
      </c>
      <c r="AH39" s="182">
        <f>AG39/AF39%</f>
        <v>102.18984959809006</v>
      </c>
      <c r="AI39" s="151">
        <f>+AI41+AI45</f>
        <v>687558</v>
      </c>
      <c r="AJ39" s="151">
        <f>+AJ41+AJ45</f>
        <v>752808</v>
      </c>
      <c r="AK39" s="182">
        <f>AJ39/AI39%</f>
        <v>109.49010847084901</v>
      </c>
      <c r="AL39" s="151">
        <f>+AL41+AL45</f>
        <v>642431</v>
      </c>
      <c r="AM39" s="151">
        <f>+AM41+AM45</f>
        <v>650131</v>
      </c>
      <c r="AN39" s="182">
        <f>AM39/AL39%</f>
        <v>101.19857229803667</v>
      </c>
      <c r="AO39" s="151">
        <f>+AO41+AO45</f>
        <v>648799</v>
      </c>
      <c r="AP39" s="151">
        <f>+AP41+AP45</f>
        <v>682879</v>
      </c>
      <c r="AQ39" s="182">
        <f>AP39/AO39%</f>
        <v>105.25278244880155</v>
      </c>
    </row>
    <row r="40" spans="1:43" s="93" customFormat="1" hidden="1" x14ac:dyDescent="0.25">
      <c r="A40" s="154" t="s">
        <v>104</v>
      </c>
      <c r="B40" s="155">
        <f>+B39-B26-B36</f>
        <v>12260222</v>
      </c>
      <c r="C40" s="155">
        <f>+C39-C26-C36</f>
        <v>12979422</v>
      </c>
      <c r="D40" s="156">
        <f>C40/B40%</f>
        <v>105.86612542578756</v>
      </c>
      <c r="E40" s="155">
        <f>B40-H40</f>
        <v>4605533</v>
      </c>
      <c r="F40" s="155">
        <f>+C40-I40</f>
        <v>5000563</v>
      </c>
      <c r="G40" s="187">
        <f>F40/E40%</f>
        <v>108.57729170543344</v>
      </c>
      <c r="H40" s="155">
        <f>+K40+N40+Q40+T40+W40+Z40+AC40+AF40+AI40+AL40+AO40</f>
        <v>7654689</v>
      </c>
      <c r="I40" s="155">
        <f>+L40+O40+R40+U40+X40+AA40+AD40+AG40+AJ40+AM40+AP40</f>
        <v>7978859</v>
      </c>
      <c r="J40" s="156">
        <f>I40/H40%</f>
        <v>104.23492058266508</v>
      </c>
      <c r="K40" s="155">
        <f>+K39-K26-K36</f>
        <v>776731</v>
      </c>
      <c r="L40" s="155">
        <f>+L39-L26-L36</f>
        <v>866251</v>
      </c>
      <c r="M40" s="187">
        <f>L40/K40%</f>
        <v>111.52522559290152</v>
      </c>
      <c r="N40" s="155">
        <f>+N39-N26-N36</f>
        <v>453367</v>
      </c>
      <c r="O40" s="155">
        <f>+O39-O26-O36</f>
        <v>492217</v>
      </c>
      <c r="P40" s="187">
        <f>O40/N40%</f>
        <v>108.56921655082968</v>
      </c>
      <c r="Q40" s="155">
        <f>+Q39-Q26-Q36</f>
        <v>613561</v>
      </c>
      <c r="R40" s="155">
        <f>+R39-R26-R36</f>
        <v>632921</v>
      </c>
      <c r="S40" s="187">
        <f>R40/Q40%</f>
        <v>103.15535048674867</v>
      </c>
      <c r="T40" s="155">
        <f>+T39-T26-T36</f>
        <v>992416</v>
      </c>
      <c r="U40" s="155">
        <f>+U39-U26-U36</f>
        <v>1015216</v>
      </c>
      <c r="V40" s="187">
        <f>U40/T40%</f>
        <v>102.29742366104537</v>
      </c>
      <c r="W40" s="155">
        <f>+W39-W26-W36</f>
        <v>763452</v>
      </c>
      <c r="X40" s="155">
        <f>+X39-X26-X36</f>
        <v>776472</v>
      </c>
      <c r="Y40" s="187">
        <f>X40/W40%</f>
        <v>101.7054117351189</v>
      </c>
      <c r="Z40" s="155">
        <f>+Z39-Z26-Z36</f>
        <v>717176</v>
      </c>
      <c r="AA40" s="155">
        <f>+AA39-AA26-AA36</f>
        <v>739426</v>
      </c>
      <c r="AB40" s="187">
        <f>AA40/Z40%</f>
        <v>103.10244626144768</v>
      </c>
      <c r="AC40" s="155">
        <f>+AC39-AC26-AC36</f>
        <v>669404</v>
      </c>
      <c r="AD40" s="155">
        <f>+AD39-AD26-AD36</f>
        <v>688894</v>
      </c>
      <c r="AE40" s="187">
        <f>AD40/AC40%</f>
        <v>102.91154519542758</v>
      </c>
      <c r="AF40" s="155">
        <f>+AF39-AF26-AF36</f>
        <v>708794</v>
      </c>
      <c r="AG40" s="155">
        <f>+AG39-AG26-AG36</f>
        <v>720644</v>
      </c>
      <c r="AH40" s="187">
        <f>AG40/AF40%</f>
        <v>101.67185388138162</v>
      </c>
      <c r="AI40" s="155">
        <f>+AI39-AI26-AI36</f>
        <v>679558</v>
      </c>
      <c r="AJ40" s="155">
        <f>+AJ39-AJ26-AJ36</f>
        <v>738808</v>
      </c>
      <c r="AK40" s="187">
        <f>AJ40/AI40%</f>
        <v>108.71890258079516</v>
      </c>
      <c r="AL40" s="155">
        <f>+AL39-AL26-AL36</f>
        <v>636431</v>
      </c>
      <c r="AM40" s="155">
        <f>+AM39-AM26-AM36</f>
        <v>639131</v>
      </c>
      <c r="AN40" s="187">
        <f>AM40/AL40%</f>
        <v>100.42424080536617</v>
      </c>
      <c r="AO40" s="155">
        <f>+AO39-AO26-AO36</f>
        <v>643799</v>
      </c>
      <c r="AP40" s="155">
        <f>+AP39-AP26-AP36</f>
        <v>668879</v>
      </c>
      <c r="AQ40" s="187">
        <f>AP40/AO40%</f>
        <v>103.89562580867631</v>
      </c>
    </row>
    <row r="41" spans="1:43" s="87" customFormat="1" x14ac:dyDescent="0.25">
      <c r="A41" s="157" t="s">
        <v>15</v>
      </c>
      <c r="B41" s="158">
        <f>+B9-B19-B22-B31</f>
        <v>5817000</v>
      </c>
      <c r="C41" s="158">
        <f t="shared" ref="C41" si="1">+C9-C19-C22-C31</f>
        <v>6551200</v>
      </c>
      <c r="D41" s="95">
        <f>C41/B41%</f>
        <v>112.62162626783565</v>
      </c>
      <c r="E41" s="158">
        <f>B41-H41</f>
        <v>4024770</v>
      </c>
      <c r="F41" s="158">
        <f>+C41-I41</f>
        <v>4383800</v>
      </c>
      <c r="G41" s="95">
        <f>F41/E41%</f>
        <v>108.92050974341392</v>
      </c>
      <c r="H41" s="158">
        <f>+K41+N41+Q41+T41+W41+Z41+AC41+AF41+AI41+AL41+AO41</f>
        <v>1792230</v>
      </c>
      <c r="I41" s="158">
        <f>+L41+O41+R41+U41+X41+AA41+AD41+AG41+AJ41+AM41+AP41</f>
        <v>2167400</v>
      </c>
      <c r="J41" s="95">
        <f>I41/H41%</f>
        <v>120.93313916182633</v>
      </c>
      <c r="K41" s="158">
        <f>+K9-K19-K22-K31-K11-K12</f>
        <v>840830</v>
      </c>
      <c r="L41" s="158">
        <f>+L9-L19-L22-L31-L11-L12-L23-L33-L28</f>
        <v>890350</v>
      </c>
      <c r="M41" s="95">
        <f>L41/K41%</f>
        <v>105.88941878857796</v>
      </c>
      <c r="N41" s="158">
        <f>+N9-N19-N22-N31-N11-N12</f>
        <v>137950</v>
      </c>
      <c r="O41" s="158">
        <f>+O9-O19-O22-O31-O11-O12-O23-O33-O28</f>
        <v>183800</v>
      </c>
      <c r="P41" s="95">
        <f>O41/N41%</f>
        <v>133.23667995650598</v>
      </c>
      <c r="Q41" s="158">
        <f>+Q9-Q19-Q22-Q31-Q11-Q12</f>
        <v>106140</v>
      </c>
      <c r="R41" s="158">
        <f>+R9-R19-R22-R31-R11-R12-R23-R33-R28</f>
        <v>153500</v>
      </c>
      <c r="S41" s="95">
        <f>R41/Q41%</f>
        <v>144.62031279442246</v>
      </c>
      <c r="T41" s="158">
        <f>+T9-T19-T22-T31-T11-T12</f>
        <v>139500</v>
      </c>
      <c r="U41" s="158">
        <f>+U9-U19-U22-U31-U11-U12-U23-U33-U28</f>
        <v>177300</v>
      </c>
      <c r="V41" s="95">
        <f>U41/T41%</f>
        <v>127.09677419354838</v>
      </c>
      <c r="W41" s="158">
        <f>+W9-W19-W22-W31-W11-W12</f>
        <v>86180</v>
      </c>
      <c r="X41" s="158">
        <f>+X9-X19-X22-X31-X11-X12-X23-X33-X28</f>
        <v>116200</v>
      </c>
      <c r="Y41" s="95">
        <f>X41/W41%</f>
        <v>134.83406822928754</v>
      </c>
      <c r="Z41" s="158">
        <f>+Z9-Z19-Z22-Z31-Z11-Z12</f>
        <v>93650</v>
      </c>
      <c r="AA41" s="158">
        <f>+AA9-AA19-AA22-AA31-AA11-AA12-AA23-AA33-AA28</f>
        <v>115900</v>
      </c>
      <c r="AB41" s="95">
        <f>AA41/Z41%</f>
        <v>123.75867592098238</v>
      </c>
      <c r="AC41" s="158">
        <f>+AC9-AC19-AC22-AC31-AC11-AC12</f>
        <v>78060</v>
      </c>
      <c r="AD41" s="158">
        <f>+AD9-AD19-AD22-AD31-AD11-AD12-AD23-AD33-AD28</f>
        <v>97550</v>
      </c>
      <c r="AE41" s="95">
        <f>AD41/AC41%</f>
        <v>124.96797335383039</v>
      </c>
      <c r="AF41" s="158">
        <f>+AF9-AF19-AF22-AF31-AF11-AF12</f>
        <v>91300</v>
      </c>
      <c r="AG41" s="158">
        <f>+AG9-AG19-AG22-AG31-AG11-AG12-AG23-AG33-AG28</f>
        <v>107150</v>
      </c>
      <c r="AH41" s="95">
        <f>AG41/AF41%</f>
        <v>117.36035049288061</v>
      </c>
      <c r="AI41" s="158">
        <f>+AI9-AI19-AI22-AI31-AI11-AI12</f>
        <v>96100</v>
      </c>
      <c r="AJ41" s="158">
        <f>+AJ9-AJ19-AJ22-AJ31-AJ11-AJ12-AJ23-AJ33-AJ28</f>
        <v>161350</v>
      </c>
      <c r="AK41" s="95">
        <f>AJ41/AI41%</f>
        <v>167.89802289281997</v>
      </c>
      <c r="AL41" s="158">
        <f>+AL9-AL19-AL22-AL31-AL11-AL12</f>
        <v>69630</v>
      </c>
      <c r="AM41" s="158">
        <f>+AM9-AM19-AM22-AM31-AM11-AM12-AM23-AM33-AM28-AM20</f>
        <v>77330</v>
      </c>
      <c r="AN41" s="95">
        <f>AM41/AL41%</f>
        <v>111.05845181674566</v>
      </c>
      <c r="AO41" s="158">
        <f>+AO9-AO19-AO22-AO31-AO11-AO12</f>
        <v>52890</v>
      </c>
      <c r="AP41" s="158">
        <f>+AP9-AP19-AP22-AP31-AP11-AP12-AP23-AP33-AP28</f>
        <v>86970</v>
      </c>
      <c r="AQ41" s="95">
        <f>AP41/AO41%</f>
        <v>164.43562110039707</v>
      </c>
    </row>
    <row r="42" spans="1:43" s="87" customFormat="1" hidden="1" x14ac:dyDescent="0.25">
      <c r="A42" s="157" t="s">
        <v>40</v>
      </c>
      <c r="B42" s="158">
        <v>6892230</v>
      </c>
      <c r="C42" s="158">
        <v>6892230</v>
      </c>
      <c r="D42" s="95">
        <f>C42/B42%</f>
        <v>100</v>
      </c>
      <c r="E42" s="158">
        <f>B42-H42</f>
        <v>-68922300</v>
      </c>
      <c r="F42" s="158">
        <f>+C42-I42</f>
        <v>-68922300</v>
      </c>
      <c r="G42" s="95">
        <f>F42/E42%</f>
        <v>100</v>
      </c>
      <c r="H42" s="158">
        <f>+K42+N42+Q42+T42+W42+Z42+AC42+AF42+AI42+AL42+AO42</f>
        <v>75814530</v>
      </c>
      <c r="I42" s="158">
        <f>+L42+O42+R42+U42+X42+AA42+AD42+AG42+AJ42+AM42+AP42</f>
        <v>75814530</v>
      </c>
      <c r="J42" s="95">
        <f>I42/H42%</f>
        <v>100</v>
      </c>
      <c r="K42" s="158">
        <v>6892230</v>
      </c>
      <c r="L42" s="158">
        <v>6892230</v>
      </c>
      <c r="M42" s="95">
        <f>L42/K42%</f>
        <v>100</v>
      </c>
      <c r="N42" s="158">
        <v>6892230</v>
      </c>
      <c r="O42" s="158">
        <v>6892230</v>
      </c>
      <c r="P42" s="95">
        <f>O42/N42%</f>
        <v>100</v>
      </c>
      <c r="Q42" s="158">
        <v>6892230</v>
      </c>
      <c r="R42" s="158">
        <v>6892230</v>
      </c>
      <c r="S42" s="95">
        <f>R42/Q42%</f>
        <v>100</v>
      </c>
      <c r="T42" s="158">
        <v>6892230</v>
      </c>
      <c r="U42" s="158">
        <v>6892230</v>
      </c>
      <c r="V42" s="95">
        <f>U42/T42%</f>
        <v>100</v>
      </c>
      <c r="W42" s="158">
        <v>6892230</v>
      </c>
      <c r="X42" s="158">
        <v>6892230</v>
      </c>
      <c r="Y42" s="95">
        <f>X42/W42%</f>
        <v>100</v>
      </c>
      <c r="Z42" s="158">
        <v>6892230</v>
      </c>
      <c r="AA42" s="158">
        <v>6892230</v>
      </c>
      <c r="AB42" s="95">
        <f>AA42/Z42%</f>
        <v>100</v>
      </c>
      <c r="AC42" s="158">
        <v>6892230</v>
      </c>
      <c r="AD42" s="158">
        <v>6892230</v>
      </c>
      <c r="AE42" s="95">
        <f>AD42/AC42%</f>
        <v>100</v>
      </c>
      <c r="AF42" s="158">
        <v>6892230</v>
      </c>
      <c r="AG42" s="158">
        <v>6892230</v>
      </c>
      <c r="AH42" s="95">
        <f>AG42/AF42%</f>
        <v>100</v>
      </c>
      <c r="AI42" s="158">
        <v>6892230</v>
      </c>
      <c r="AJ42" s="158">
        <v>6892230</v>
      </c>
      <c r="AK42" s="95">
        <f>AJ42/AI42%</f>
        <v>100</v>
      </c>
      <c r="AL42" s="158">
        <v>6892230</v>
      </c>
      <c r="AM42" s="158">
        <v>6892230</v>
      </c>
      <c r="AN42" s="95">
        <f>AM42/AL42%</f>
        <v>100</v>
      </c>
      <c r="AO42" s="158">
        <v>6892230</v>
      </c>
      <c r="AP42" s="158">
        <v>6892230</v>
      </c>
      <c r="AQ42" s="95">
        <f>AP42/AO42%</f>
        <v>100</v>
      </c>
    </row>
    <row r="43" spans="1:43" s="87" customFormat="1" hidden="1" x14ac:dyDescent="0.25">
      <c r="A43" s="157" t="s">
        <v>41</v>
      </c>
      <c r="B43" s="158">
        <v>2021825</v>
      </c>
      <c r="C43" s="158">
        <v>2021825</v>
      </c>
      <c r="D43" s="95">
        <f>C43/B43%</f>
        <v>100</v>
      </c>
      <c r="E43" s="158">
        <f>B43-H43</f>
        <v>-20218250</v>
      </c>
      <c r="F43" s="158">
        <f>+C43-I43</f>
        <v>-20218250</v>
      </c>
      <c r="G43" s="95">
        <f>F43/E43%</f>
        <v>100</v>
      </c>
      <c r="H43" s="158">
        <f>+K43+N43+Q43+T43+W43+Z43+AC43+AF43+AI43+AL43+AO43</f>
        <v>22240075</v>
      </c>
      <c r="I43" s="158">
        <f>+L43+O43+R43+U43+X43+AA43+AD43+AG43+AJ43+AM43+AP43</f>
        <v>22240075</v>
      </c>
      <c r="J43" s="95">
        <f>I43/H43%</f>
        <v>100</v>
      </c>
      <c r="K43" s="158">
        <v>2021825</v>
      </c>
      <c r="L43" s="158">
        <v>2021825</v>
      </c>
      <c r="M43" s="95">
        <f>L43/K43%</f>
        <v>100</v>
      </c>
      <c r="N43" s="158">
        <v>2021825</v>
      </c>
      <c r="O43" s="158">
        <v>2021825</v>
      </c>
      <c r="P43" s="95">
        <f>O43/N43%</f>
        <v>100</v>
      </c>
      <c r="Q43" s="158">
        <v>2021825</v>
      </c>
      <c r="R43" s="158">
        <v>2021825</v>
      </c>
      <c r="S43" s="95">
        <f>R43/Q43%</f>
        <v>100</v>
      </c>
      <c r="T43" s="158">
        <v>2021825</v>
      </c>
      <c r="U43" s="158">
        <v>2021825</v>
      </c>
      <c r="V43" s="95">
        <f>U43/T43%</f>
        <v>100</v>
      </c>
      <c r="W43" s="158">
        <v>2021825</v>
      </c>
      <c r="X43" s="158">
        <v>2021825</v>
      </c>
      <c r="Y43" s="95">
        <f>X43/W43%</f>
        <v>100</v>
      </c>
      <c r="Z43" s="158">
        <v>2021825</v>
      </c>
      <c r="AA43" s="158">
        <v>2021825</v>
      </c>
      <c r="AB43" s="95">
        <f>AA43/Z43%</f>
        <v>100</v>
      </c>
      <c r="AC43" s="158">
        <v>2021825</v>
      </c>
      <c r="AD43" s="158">
        <v>2021825</v>
      </c>
      <c r="AE43" s="95">
        <f>AD43/AC43%</f>
        <v>100</v>
      </c>
      <c r="AF43" s="158">
        <v>2021825</v>
      </c>
      <c r="AG43" s="158">
        <v>2021825</v>
      </c>
      <c r="AH43" s="95">
        <f>AG43/AF43%</f>
        <v>100</v>
      </c>
      <c r="AI43" s="158">
        <v>2021825</v>
      </c>
      <c r="AJ43" s="158">
        <v>2021825</v>
      </c>
      <c r="AK43" s="95">
        <f>AJ43/AI43%</f>
        <v>100</v>
      </c>
      <c r="AL43" s="158">
        <v>2021825</v>
      </c>
      <c r="AM43" s="158">
        <v>2021825</v>
      </c>
      <c r="AN43" s="95">
        <f>AM43/AL43%</f>
        <v>100</v>
      </c>
      <c r="AO43" s="158">
        <v>2021825</v>
      </c>
      <c r="AP43" s="158">
        <v>2021825</v>
      </c>
      <c r="AQ43" s="95">
        <f>AP43/AO43%</f>
        <v>100</v>
      </c>
    </row>
    <row r="44" spans="1:43" s="87" customFormat="1" x14ac:dyDescent="0.25">
      <c r="A44" s="157" t="s">
        <v>81</v>
      </c>
      <c r="B44" s="158">
        <f>+B41-B26-B36</f>
        <v>3617000</v>
      </c>
      <c r="C44" s="158">
        <f>+C41-C26-C36</f>
        <v>4336200</v>
      </c>
      <c r="D44" s="95">
        <f>C44/B44%</f>
        <v>119.88388166989218</v>
      </c>
      <c r="E44" s="158">
        <f>B44-H44</f>
        <v>2098770</v>
      </c>
      <c r="F44" s="158">
        <f>+C44-I44</f>
        <v>2493800</v>
      </c>
      <c r="G44" s="95">
        <f>F44/E44%</f>
        <v>118.82197668158015</v>
      </c>
      <c r="H44" s="158">
        <f>+K44+N44+Q44+T44+W44+Z44+AC44+AF44+AI44+AL44+AO44</f>
        <v>1518230</v>
      </c>
      <c r="I44" s="158">
        <f>+L44+O44+R44+U44+X44+AA44+AD44+AG44+AJ44+AM44+AP44</f>
        <v>1842400</v>
      </c>
      <c r="J44" s="95">
        <f>I44/H44%</f>
        <v>121.3518373368989</v>
      </c>
      <c r="K44" s="158">
        <f>+K41-K26-K36</f>
        <v>690830</v>
      </c>
      <c r="L44" s="158">
        <f>+L41-L26-L36</f>
        <v>780350</v>
      </c>
      <c r="M44" s="95">
        <f>L44/K44%</f>
        <v>112.95832549252349</v>
      </c>
      <c r="N44" s="158">
        <f>+N41-N26-N36</f>
        <v>107950</v>
      </c>
      <c r="O44" s="158">
        <f>+O41-O26-O36</f>
        <v>146800</v>
      </c>
      <c r="P44" s="95">
        <f>O44/N44%</f>
        <v>135.98888374247338</v>
      </c>
      <c r="Q44" s="158">
        <f>+Q41-Q26-Q36</f>
        <v>86140</v>
      </c>
      <c r="R44" s="158">
        <f>+R41-R26-R36</f>
        <v>105500</v>
      </c>
      <c r="S44" s="95">
        <f>R44/Q44%</f>
        <v>122.47504063153006</v>
      </c>
      <c r="T44" s="158">
        <f>+T41-T26-T36</f>
        <v>129500</v>
      </c>
      <c r="U44" s="158">
        <f>+U41-U26-U36</f>
        <v>152300</v>
      </c>
      <c r="V44" s="95">
        <f>U44/T44%</f>
        <v>117.60617760617761</v>
      </c>
      <c r="W44" s="158">
        <f>+W41-W26-W36</f>
        <v>76180</v>
      </c>
      <c r="X44" s="158">
        <f>+X41-X26-X36</f>
        <v>89200</v>
      </c>
      <c r="Y44" s="95">
        <f>X44/W44%</f>
        <v>117.09110002625361</v>
      </c>
      <c r="Z44" s="158">
        <f>+Z41-Z26-Z36</f>
        <v>83650</v>
      </c>
      <c r="AA44" s="158">
        <f>+AA41-AA26-AA36</f>
        <v>105900</v>
      </c>
      <c r="AB44" s="95">
        <f>AA44/Z44%</f>
        <v>126.59892408846383</v>
      </c>
      <c r="AC44" s="158">
        <f>+AC41-AC26-AC36</f>
        <v>68060</v>
      </c>
      <c r="AD44" s="158">
        <f>+AD41-AD26-AD36</f>
        <v>87550</v>
      </c>
      <c r="AE44" s="95">
        <f>AD44/AC44%</f>
        <v>128.63649720834556</v>
      </c>
      <c r="AF44" s="158">
        <f>+AF41-AF26-AF36</f>
        <v>76300</v>
      </c>
      <c r="AG44" s="158">
        <f>+AG41-AG26-AG36</f>
        <v>88150</v>
      </c>
      <c r="AH44" s="95">
        <f>AG44/AF44%</f>
        <v>115.53079947575361</v>
      </c>
      <c r="AI44" s="158">
        <f>+AI41-AI26-AI36</f>
        <v>88100</v>
      </c>
      <c r="AJ44" s="158">
        <f>+AJ41-AJ26-AJ36</f>
        <v>147350</v>
      </c>
      <c r="AK44" s="95">
        <f>AJ44/AI44%</f>
        <v>167.25312145289445</v>
      </c>
      <c r="AL44" s="158">
        <f>+AL41-AL26-AL36</f>
        <v>63630</v>
      </c>
      <c r="AM44" s="158">
        <f>+AM41-AM26-AM36</f>
        <v>66330</v>
      </c>
      <c r="AN44" s="95">
        <f>AM44/AL44%</f>
        <v>104.24328147100425</v>
      </c>
      <c r="AO44" s="158">
        <f>+AO41-AO26-AO36</f>
        <v>47890</v>
      </c>
      <c r="AP44" s="158">
        <f>+AP41-AP26-AP36</f>
        <v>72970</v>
      </c>
      <c r="AQ44" s="95">
        <f>AP44/AO44%</f>
        <v>152.37001461683025</v>
      </c>
    </row>
    <row r="45" spans="1:43" s="87" customFormat="1" x14ac:dyDescent="0.25">
      <c r="A45" s="157" t="s">
        <v>42</v>
      </c>
      <c r="B45" s="94">
        <v>8643222</v>
      </c>
      <c r="C45" s="94">
        <v>8643222</v>
      </c>
      <c r="D45" s="95">
        <f>C45/B45%</f>
        <v>100</v>
      </c>
      <c r="E45" s="94">
        <f>B45-H45</f>
        <v>2506763</v>
      </c>
      <c r="F45" s="94">
        <f>+C45-I45</f>
        <v>2506763</v>
      </c>
      <c r="G45" s="95">
        <f>F45/E45%</f>
        <v>100</v>
      </c>
      <c r="H45" s="94">
        <f>+K45+N45+Q45+T45+W45+Z45+AC45+AF45+AI45+AL45+AO45</f>
        <v>6136459</v>
      </c>
      <c r="I45" s="94">
        <f>+L45+O45+R45+U45+X45+AA45+AD45+AG45+AJ45+AM45+AP45</f>
        <v>6136459</v>
      </c>
      <c r="J45" s="95">
        <f>I45/H45%</f>
        <v>100</v>
      </c>
      <c r="K45" s="94">
        <v>85901</v>
      </c>
      <c r="L45" s="94">
        <v>85901</v>
      </c>
      <c r="M45" s="95">
        <f>L45/K45%</f>
        <v>100</v>
      </c>
      <c r="N45" s="94">
        <v>345417</v>
      </c>
      <c r="O45" s="94">
        <v>345417</v>
      </c>
      <c r="P45" s="95">
        <f>O45/N45%</f>
        <v>100</v>
      </c>
      <c r="Q45" s="94">
        <v>527421</v>
      </c>
      <c r="R45" s="94">
        <v>527421</v>
      </c>
      <c r="S45" s="95">
        <f>R45/Q45%</f>
        <v>100</v>
      </c>
      <c r="T45" s="94">
        <v>862916</v>
      </c>
      <c r="U45" s="94">
        <v>862916</v>
      </c>
      <c r="V45" s="95">
        <f>U45/T45%</f>
        <v>100</v>
      </c>
      <c r="W45" s="94">
        <v>687272</v>
      </c>
      <c r="X45" s="94">
        <v>687272</v>
      </c>
      <c r="Y45" s="95">
        <f>X45/W45%</f>
        <v>100</v>
      </c>
      <c r="Z45" s="94">
        <v>633526</v>
      </c>
      <c r="AA45" s="94">
        <v>633526</v>
      </c>
      <c r="AB45" s="95">
        <f>AA45/Z45%</f>
        <v>100</v>
      </c>
      <c r="AC45" s="94">
        <v>601344</v>
      </c>
      <c r="AD45" s="94">
        <v>601344</v>
      </c>
      <c r="AE45" s="95">
        <f>AD45/AC45%</f>
        <v>100</v>
      </c>
      <c r="AF45" s="94">
        <v>632494</v>
      </c>
      <c r="AG45" s="94">
        <v>632494</v>
      </c>
      <c r="AH45" s="95">
        <f>AG45/AF45%</f>
        <v>100</v>
      </c>
      <c r="AI45" s="94">
        <v>591458</v>
      </c>
      <c r="AJ45" s="94">
        <v>591458</v>
      </c>
      <c r="AK45" s="95">
        <f>AJ45/AI45%</f>
        <v>100</v>
      </c>
      <c r="AL45" s="94">
        <v>572801</v>
      </c>
      <c r="AM45" s="94">
        <v>572801</v>
      </c>
      <c r="AN45" s="95">
        <f>AM45/AL45%</f>
        <v>100</v>
      </c>
      <c r="AO45" s="94">
        <v>595909</v>
      </c>
      <c r="AP45" s="94">
        <v>595909</v>
      </c>
      <c r="AQ45" s="95">
        <f>AP45/AO45%</f>
        <v>100</v>
      </c>
    </row>
    <row r="46" spans="1:43" s="87" customFormat="1" x14ac:dyDescent="0.25">
      <c r="A46" s="157" t="s">
        <v>174</v>
      </c>
      <c r="B46" s="94">
        <v>275600</v>
      </c>
      <c r="C46" s="94">
        <v>100860</v>
      </c>
      <c r="D46" s="95">
        <f>C46/B46%</f>
        <v>36.596516690856312</v>
      </c>
      <c r="E46" s="94">
        <f>B46-H46</f>
        <v>275600</v>
      </c>
      <c r="F46" s="94">
        <f>+C46-I46</f>
        <v>100860</v>
      </c>
      <c r="G46" s="95">
        <f>F46/E46%</f>
        <v>36.596516690856312</v>
      </c>
      <c r="H46" s="94">
        <f>+K46+N46+Q46+T46+W46+Z46+AC46+AF46+AI46+AL46+AO46</f>
        <v>0</v>
      </c>
      <c r="I46" s="94">
        <f>+L46+O46+R46+U46+X46+AA46+AD46+AG46+AJ46+AM46+AP46</f>
        <v>0</v>
      </c>
      <c r="J46" s="95"/>
      <c r="K46" s="94">
        <v>0</v>
      </c>
      <c r="L46" s="94"/>
      <c r="M46" s="95"/>
      <c r="N46" s="94">
        <v>0</v>
      </c>
      <c r="O46" s="94"/>
      <c r="P46" s="95"/>
      <c r="Q46" s="94">
        <v>0</v>
      </c>
      <c r="R46" s="94"/>
      <c r="S46" s="95"/>
      <c r="T46" s="94">
        <v>0</v>
      </c>
      <c r="U46" s="94"/>
      <c r="V46" s="95"/>
      <c r="W46" s="94">
        <v>0</v>
      </c>
      <c r="X46" s="94"/>
      <c r="Y46" s="95"/>
      <c r="Z46" s="94">
        <v>0</v>
      </c>
      <c r="AA46" s="94"/>
      <c r="AB46" s="95"/>
      <c r="AC46" s="94">
        <v>0</v>
      </c>
      <c r="AD46" s="94"/>
      <c r="AE46" s="95"/>
      <c r="AF46" s="94">
        <v>0</v>
      </c>
      <c r="AG46" s="94"/>
      <c r="AH46" s="95"/>
      <c r="AI46" s="94">
        <v>0</v>
      </c>
      <c r="AJ46" s="94"/>
      <c r="AK46" s="95"/>
      <c r="AL46" s="94">
        <v>0</v>
      </c>
      <c r="AM46" s="94"/>
      <c r="AN46" s="95"/>
      <c r="AO46" s="94">
        <v>0</v>
      </c>
      <c r="AP46" s="94"/>
      <c r="AQ46" s="95"/>
    </row>
    <row r="47" spans="1:43" s="92" customFormat="1" x14ac:dyDescent="0.25">
      <c r="A47" s="159" t="s">
        <v>43</v>
      </c>
      <c r="B47" s="96">
        <v>3593507</v>
      </c>
      <c r="C47" s="96">
        <v>3593507</v>
      </c>
      <c r="D47" s="97">
        <f>C47/B47%</f>
        <v>100</v>
      </c>
      <c r="E47" s="96">
        <f>B47-H47</f>
        <v>3591355</v>
      </c>
      <c r="F47" s="96">
        <f>+C47-I47</f>
        <v>2533866.4589999998</v>
      </c>
      <c r="G47" s="97">
        <f>F47/E47%</f>
        <v>70.554608469505226</v>
      </c>
      <c r="H47" s="96">
        <f>+K47+N47+Q47+T47+W47+Z47+AC47+AF47+AI47+AL47+AO47</f>
        <v>2152</v>
      </c>
      <c r="I47" s="96">
        <f>+L47+O47+R47+U47+X47+AA47+AD47+AG47+AJ47+AM47+AP47</f>
        <v>1059640.541</v>
      </c>
      <c r="J47" s="98">
        <f>I47/H47%</f>
        <v>49239.802091078069</v>
      </c>
      <c r="K47" s="96">
        <v>231</v>
      </c>
      <c r="L47" s="96">
        <f>22399-1150</f>
        <v>21249</v>
      </c>
      <c r="M47" s="98">
        <f>L47/K47%</f>
        <v>9198.7012987012986</v>
      </c>
      <c r="N47" s="96">
        <v>231</v>
      </c>
      <c r="O47" s="96">
        <f>55314.68+468</f>
        <v>55782.68</v>
      </c>
      <c r="P47" s="97">
        <f>O47/N47%</f>
        <v>24148.346320346322</v>
      </c>
      <c r="Q47" s="96">
        <v>207</v>
      </c>
      <c r="R47" s="96">
        <f>74067.279+1012</f>
        <v>75079.278999999995</v>
      </c>
      <c r="S47" s="97">
        <f>R47/Q47%</f>
        <v>36270.183091787439</v>
      </c>
      <c r="T47" s="96">
        <v>231</v>
      </c>
      <c r="U47" s="96">
        <f>78723.48+1061</f>
        <v>79784.479999999996</v>
      </c>
      <c r="V47" s="97">
        <f>U47/T47%</f>
        <v>34538.735930735929</v>
      </c>
      <c r="W47" s="96">
        <v>163</v>
      </c>
      <c r="X47" s="99">
        <f>134811.092+717</f>
        <v>135528.092</v>
      </c>
      <c r="Y47" s="98">
        <f>X47/W47%</f>
        <v>83146.068711656451</v>
      </c>
      <c r="Z47" s="96">
        <v>231</v>
      </c>
      <c r="AA47" s="96">
        <f>80685.96+888</f>
        <v>81573.960000000006</v>
      </c>
      <c r="AB47" s="98">
        <f>AA47/Z47%</f>
        <v>35313.402597402601</v>
      </c>
      <c r="AC47" s="96">
        <v>231</v>
      </c>
      <c r="AD47" s="96">
        <f>93779.8+326</f>
        <v>94105.8</v>
      </c>
      <c r="AE47" s="97">
        <f>AD47/AC47%</f>
        <v>40738.441558441562</v>
      </c>
      <c r="AF47" s="96">
        <v>163</v>
      </c>
      <c r="AG47" s="96">
        <f>65951.97+404</f>
        <v>66355.97</v>
      </c>
      <c r="AH47" s="97">
        <f>AG47/AF47%</f>
        <v>40709.184049079755</v>
      </c>
      <c r="AI47" s="96">
        <v>139</v>
      </c>
      <c r="AJ47" s="96">
        <f>232319.84+872</f>
        <v>233191.84</v>
      </c>
      <c r="AK47" s="98">
        <f>AJ47/AI47%</f>
        <v>167763.91366906476</v>
      </c>
      <c r="AL47" s="96">
        <v>118</v>
      </c>
      <c r="AM47" s="96">
        <f>104472.6+396</f>
        <v>104868.6</v>
      </c>
      <c r="AN47" s="98">
        <f>AM47/AL47%</f>
        <v>88871.694915254251</v>
      </c>
      <c r="AO47" s="96">
        <v>207</v>
      </c>
      <c r="AP47" s="96">
        <f>111953.84+167</f>
        <v>112120.84</v>
      </c>
      <c r="AQ47" s="97">
        <f>AP47/AO47%</f>
        <v>54164.657004830922</v>
      </c>
    </row>
    <row r="48" spans="1:43" s="92" customFormat="1" x14ac:dyDescent="0.25">
      <c r="A48" s="160" t="s">
        <v>71</v>
      </c>
      <c r="B48" s="100">
        <v>611387</v>
      </c>
      <c r="C48" s="100">
        <v>611387</v>
      </c>
      <c r="D48" s="101">
        <f>C48/B48%</f>
        <v>100</v>
      </c>
      <c r="E48" s="100">
        <f>B48-H48</f>
        <v>611387</v>
      </c>
      <c r="F48" s="100">
        <f>+C48-I48</f>
        <v>611387</v>
      </c>
      <c r="G48" s="101">
        <f>F48/E48%</f>
        <v>100</v>
      </c>
      <c r="H48" s="100">
        <f>+K48+N48+Q48+T48+W48+Z48+AC48+AF48+AI48+AL48+AO48</f>
        <v>0</v>
      </c>
      <c r="I48" s="100"/>
      <c r="J48" s="101"/>
      <c r="K48" s="100"/>
      <c r="L48" s="100"/>
      <c r="M48" s="101"/>
      <c r="N48" s="100"/>
      <c r="O48" s="100"/>
      <c r="P48" s="101"/>
      <c r="Q48" s="100"/>
      <c r="R48" s="100"/>
      <c r="S48" s="101"/>
      <c r="T48" s="100"/>
      <c r="U48" s="100"/>
      <c r="V48" s="101"/>
      <c r="W48" s="100"/>
      <c r="X48" s="100"/>
      <c r="Y48" s="101"/>
      <c r="Z48" s="100"/>
      <c r="AA48" s="100"/>
      <c r="AB48" s="101"/>
      <c r="AC48" s="100"/>
      <c r="AD48" s="100"/>
      <c r="AE48" s="101"/>
      <c r="AF48" s="100"/>
      <c r="AG48" s="100"/>
      <c r="AH48" s="101"/>
      <c r="AI48" s="100"/>
      <c r="AJ48" s="100"/>
      <c r="AK48" s="101"/>
      <c r="AL48" s="100"/>
      <c r="AM48" s="100"/>
      <c r="AN48" s="101"/>
      <c r="AO48" s="100"/>
      <c r="AP48" s="100"/>
      <c r="AQ48" s="101"/>
    </row>
    <row r="49" spans="21:27" x14ac:dyDescent="0.25">
      <c r="U49" s="85"/>
      <c r="AA49" s="85"/>
    </row>
  </sheetData>
  <mergeCells count="19">
    <mergeCell ref="AC5:AE5"/>
    <mergeCell ref="AF5:AH5"/>
    <mergeCell ref="AI5:AK5"/>
    <mergeCell ref="AL5:AN5"/>
    <mergeCell ref="AO5:AQ5"/>
    <mergeCell ref="I4:J4"/>
    <mergeCell ref="B2:J2"/>
    <mergeCell ref="Z5:AB5"/>
    <mergeCell ref="A1:P1"/>
    <mergeCell ref="A3:P3"/>
    <mergeCell ref="A5:A6"/>
    <mergeCell ref="B5:D5"/>
    <mergeCell ref="E5:G5"/>
    <mergeCell ref="H5:J5"/>
    <mergeCell ref="K5:M5"/>
    <mergeCell ref="N5:P5"/>
    <mergeCell ref="Q5:S5"/>
    <mergeCell ref="T5:V5"/>
    <mergeCell ref="W5:Y5"/>
  </mergeCells>
  <pageMargins left="0.24" right="0.16" top="0.35" bottom="0.35" header="0.3" footer="0.3"/>
  <pageSetup paperSize="9" scale="75" orientation="landscape" blackAndWhite="1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abSelected="1" workbookViewId="0">
      <pane xSplit="7" ySplit="7" topLeftCell="AK25" activePane="bottomRight" state="frozen"/>
      <selection pane="topRight" activeCell="L1" sqref="L1"/>
      <selection pane="bottomLeft" activeCell="A8" sqref="A8"/>
      <selection pane="bottomRight" activeCell="AS33" sqref="AS33"/>
    </sheetView>
  </sheetViews>
  <sheetFormatPr defaultColWidth="8.85546875" defaultRowHeight="15" x14ac:dyDescent="0.25"/>
  <cols>
    <col min="1" max="1" width="48" style="193" bestFit="1" customWidth="1"/>
    <col min="2" max="3" width="12.7109375" style="193" bestFit="1" customWidth="1"/>
    <col min="4" max="4" width="10.42578125" style="193" bestFit="1" customWidth="1"/>
    <col min="5" max="5" width="13.5703125" style="193" bestFit="1" customWidth="1"/>
    <col min="6" max="6" width="12.7109375" style="193" bestFit="1" customWidth="1"/>
    <col min="7" max="7" width="10.140625" style="193" customWidth="1"/>
    <col min="8" max="8" width="11.5703125" style="193" bestFit="1" customWidth="1"/>
    <col min="9" max="9" width="12.7109375" style="193" bestFit="1" customWidth="1"/>
    <col min="10" max="10" width="10.28515625" style="193" customWidth="1"/>
    <col min="11" max="11" width="10.7109375" style="193" customWidth="1"/>
    <col min="12" max="12" width="9.85546875" style="193" bestFit="1" customWidth="1"/>
    <col min="13" max="13" width="10" style="193" customWidth="1"/>
    <col min="14" max="14" width="11.140625" style="193" customWidth="1"/>
    <col min="15" max="15" width="11.7109375" style="193" customWidth="1"/>
    <col min="16" max="16" width="10.42578125" style="193" customWidth="1"/>
    <col min="17" max="17" width="9.85546875" style="193" bestFit="1" customWidth="1"/>
    <col min="18" max="18" width="11.85546875" style="193" customWidth="1"/>
    <col min="19" max="19" width="11" style="193" customWidth="1"/>
    <col min="20" max="20" width="11.5703125" style="193" bestFit="1" customWidth="1"/>
    <col min="21" max="21" width="11.5703125" style="193" customWidth="1"/>
    <col min="22" max="23" width="10.28515625" style="193" customWidth="1"/>
    <col min="24" max="24" width="11.85546875" style="193" customWidth="1"/>
    <col min="25" max="25" width="10.42578125" style="193" customWidth="1"/>
    <col min="26" max="26" width="10.85546875" style="193" customWidth="1"/>
    <col min="27" max="27" width="11.5703125" style="193" customWidth="1"/>
    <col min="28" max="28" width="10" style="193" customWidth="1"/>
    <col min="29" max="29" width="11.42578125" style="193" customWidth="1"/>
    <col min="30" max="30" width="11" style="193" customWidth="1"/>
    <col min="31" max="31" width="10.42578125" style="193" bestFit="1" customWidth="1"/>
    <col min="32" max="32" width="10.42578125" style="193" customWidth="1"/>
    <col min="33" max="33" width="11.28515625" style="193" customWidth="1"/>
    <col min="34" max="34" width="10.28515625" style="193" customWidth="1"/>
    <col min="35" max="35" width="10.7109375" style="193" customWidth="1"/>
    <col min="36" max="36" width="12.28515625" style="193" customWidth="1"/>
    <col min="37" max="37" width="11.5703125" style="193" bestFit="1" customWidth="1"/>
    <col min="38" max="38" width="9.85546875" style="193" bestFit="1" customWidth="1"/>
    <col min="39" max="39" width="12.28515625" style="193" customWidth="1"/>
    <col min="40" max="40" width="10.42578125" style="193" bestFit="1" customWidth="1"/>
    <col min="41" max="41" width="9.85546875" style="193" bestFit="1" customWidth="1"/>
    <col min="42" max="42" width="11.42578125" style="193" customWidth="1"/>
    <col min="43" max="43" width="10.42578125" style="193" bestFit="1" customWidth="1"/>
    <col min="44" max="16384" width="8.85546875" style="193"/>
  </cols>
  <sheetData>
    <row r="1" spans="1:43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43" ht="18.75" x14ac:dyDescent="0.3">
      <c r="A2" s="162" t="s">
        <v>111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1"/>
      <c r="O2" s="161"/>
      <c r="P2" s="161"/>
    </row>
    <row r="3" spans="1:43" s="196" customFormat="1" x14ac:dyDescent="0.25">
      <c r="A3" s="194"/>
      <c r="B3" s="194"/>
      <c r="C3" s="194"/>
      <c r="D3" s="194"/>
      <c r="E3" s="194"/>
      <c r="F3" s="194"/>
      <c r="G3" s="194"/>
      <c r="H3" s="194"/>
      <c r="I3" s="195"/>
      <c r="J3" s="194"/>
      <c r="K3" s="194"/>
      <c r="L3" s="194"/>
      <c r="M3" s="194"/>
      <c r="N3" s="194"/>
      <c r="O3" s="194"/>
      <c r="P3" s="194"/>
    </row>
    <row r="4" spans="1:43" x14ac:dyDescent="0.25">
      <c r="A4" s="197"/>
      <c r="B4" s="198"/>
      <c r="C4" s="199"/>
      <c r="D4" s="200"/>
      <c r="E4" s="201"/>
      <c r="F4" s="196"/>
      <c r="G4" s="202"/>
      <c r="H4" s="203"/>
      <c r="I4" s="204"/>
      <c r="J4" s="204"/>
      <c r="K4" s="205" t="s">
        <v>0</v>
      </c>
      <c r="L4" s="205"/>
      <c r="M4" s="205"/>
      <c r="N4" s="172"/>
      <c r="O4" s="172"/>
      <c r="P4" s="172"/>
      <c r="R4" s="196"/>
      <c r="U4" s="196"/>
      <c r="X4" s="199"/>
      <c r="AA4" s="199"/>
      <c r="AD4" s="196"/>
      <c r="AG4" s="196"/>
      <c r="AJ4" s="196"/>
      <c r="AM4" s="196"/>
      <c r="AO4" s="199"/>
      <c r="AP4" s="199"/>
    </row>
    <row r="5" spans="1:43" x14ac:dyDescent="0.25">
      <c r="A5" s="206" t="s">
        <v>1</v>
      </c>
      <c r="B5" s="207" t="s">
        <v>83</v>
      </c>
      <c r="C5" s="207"/>
      <c r="D5" s="207"/>
      <c r="E5" s="207" t="s">
        <v>84</v>
      </c>
      <c r="F5" s="207"/>
      <c r="G5" s="207"/>
      <c r="H5" s="207" t="s">
        <v>85</v>
      </c>
      <c r="I5" s="207"/>
      <c r="J5" s="207"/>
      <c r="K5" s="207" t="s">
        <v>86</v>
      </c>
      <c r="L5" s="207"/>
      <c r="M5" s="207"/>
      <c r="N5" s="207" t="s">
        <v>87</v>
      </c>
      <c r="O5" s="207"/>
      <c r="P5" s="207"/>
      <c r="Q5" s="207" t="s">
        <v>88</v>
      </c>
      <c r="R5" s="207"/>
      <c r="S5" s="207"/>
      <c r="T5" s="207" t="s">
        <v>89</v>
      </c>
      <c r="U5" s="207"/>
      <c r="V5" s="207"/>
      <c r="W5" s="207" t="s">
        <v>90</v>
      </c>
      <c r="X5" s="207"/>
      <c r="Y5" s="207"/>
      <c r="Z5" s="207" t="s">
        <v>91</v>
      </c>
      <c r="AA5" s="207"/>
      <c r="AB5" s="207"/>
      <c r="AC5" s="207" t="s">
        <v>92</v>
      </c>
      <c r="AD5" s="207"/>
      <c r="AE5" s="207"/>
      <c r="AF5" s="207" t="s">
        <v>93</v>
      </c>
      <c r="AG5" s="207"/>
      <c r="AH5" s="207"/>
      <c r="AI5" s="207" t="s">
        <v>94</v>
      </c>
      <c r="AJ5" s="207"/>
      <c r="AK5" s="207"/>
      <c r="AL5" s="207" t="s">
        <v>95</v>
      </c>
      <c r="AM5" s="207"/>
      <c r="AN5" s="207"/>
      <c r="AO5" s="207" t="s">
        <v>96</v>
      </c>
      <c r="AP5" s="207"/>
      <c r="AQ5" s="207"/>
    </row>
    <row r="6" spans="1:43" s="209" customFormat="1" ht="57" x14ac:dyDescent="0.25">
      <c r="A6" s="208"/>
      <c r="B6" s="177" t="s">
        <v>97</v>
      </c>
      <c r="C6" s="176" t="s">
        <v>110</v>
      </c>
      <c r="D6" s="177" t="s">
        <v>98</v>
      </c>
      <c r="E6" s="177" t="s">
        <v>97</v>
      </c>
      <c r="F6" s="176" t="s">
        <v>110</v>
      </c>
      <c r="G6" s="177" t="s">
        <v>98</v>
      </c>
      <c r="H6" s="177" t="s">
        <v>97</v>
      </c>
      <c r="I6" s="176" t="s">
        <v>110</v>
      </c>
      <c r="J6" s="177" t="s">
        <v>98</v>
      </c>
      <c r="K6" s="177" t="s">
        <v>97</v>
      </c>
      <c r="L6" s="176" t="s">
        <v>110</v>
      </c>
      <c r="M6" s="177" t="s">
        <v>98</v>
      </c>
      <c r="N6" s="177" t="s">
        <v>97</v>
      </c>
      <c r="O6" s="176" t="s">
        <v>110</v>
      </c>
      <c r="P6" s="177" t="s">
        <v>98</v>
      </c>
      <c r="Q6" s="177" t="s">
        <v>97</v>
      </c>
      <c r="R6" s="176" t="s">
        <v>110</v>
      </c>
      <c r="S6" s="177" t="s">
        <v>98</v>
      </c>
      <c r="T6" s="177" t="s">
        <v>97</v>
      </c>
      <c r="U6" s="176" t="s">
        <v>110</v>
      </c>
      <c r="V6" s="177" t="s">
        <v>98</v>
      </c>
      <c r="W6" s="177" t="s">
        <v>97</v>
      </c>
      <c r="X6" s="176" t="s">
        <v>110</v>
      </c>
      <c r="Y6" s="177" t="s">
        <v>98</v>
      </c>
      <c r="Z6" s="177" t="s">
        <v>97</v>
      </c>
      <c r="AA6" s="176" t="s">
        <v>110</v>
      </c>
      <c r="AB6" s="177" t="s">
        <v>98</v>
      </c>
      <c r="AC6" s="177" t="s">
        <v>97</v>
      </c>
      <c r="AD6" s="176" t="s">
        <v>110</v>
      </c>
      <c r="AE6" s="177" t="s">
        <v>98</v>
      </c>
      <c r="AF6" s="177" t="s">
        <v>97</v>
      </c>
      <c r="AG6" s="176" t="s">
        <v>110</v>
      </c>
      <c r="AH6" s="177" t="s">
        <v>98</v>
      </c>
      <c r="AI6" s="177" t="s">
        <v>97</v>
      </c>
      <c r="AJ6" s="176" t="s">
        <v>110</v>
      </c>
      <c r="AK6" s="177" t="s">
        <v>98</v>
      </c>
      <c r="AL6" s="177" t="s">
        <v>97</v>
      </c>
      <c r="AM6" s="176" t="s">
        <v>110</v>
      </c>
      <c r="AN6" s="177" t="s">
        <v>98</v>
      </c>
      <c r="AO6" s="177" t="s">
        <v>97</v>
      </c>
      <c r="AP6" s="176" t="s">
        <v>110</v>
      </c>
      <c r="AQ6" s="177" t="s">
        <v>98</v>
      </c>
    </row>
    <row r="7" spans="1:43" s="105" customFormat="1" ht="14.25" x14ac:dyDescent="0.2">
      <c r="A7" s="214" t="s">
        <v>105</v>
      </c>
      <c r="B7" s="211">
        <f>+B8+B39</f>
        <v>18940716.199999999</v>
      </c>
      <c r="C7" s="211">
        <f>+C8+C39</f>
        <v>18377211</v>
      </c>
      <c r="D7" s="210">
        <f>C7/B7%</f>
        <v>97.024900251659972</v>
      </c>
      <c r="E7" s="211">
        <f>+B7-H7</f>
        <v>11009875.199999999</v>
      </c>
      <c r="F7" s="211">
        <f>+C7-I7</f>
        <v>10136676</v>
      </c>
      <c r="G7" s="210">
        <f>F7/E7%</f>
        <v>92.068945522652257</v>
      </c>
      <c r="H7" s="211">
        <f>+K7+N7+Q7+T7+W7+Z7+AC7+AF7+AI7+AL7+AO7</f>
        <v>7930841</v>
      </c>
      <c r="I7" s="211">
        <f>+L7+O7+R7+U7+X7+AA7+AD7+AG7+AJ7+AM7+AP7</f>
        <v>8240535</v>
      </c>
      <c r="J7" s="210">
        <f>I7/H7%</f>
        <v>103.90493265468315</v>
      </c>
      <c r="K7" s="211">
        <f>+K8+K39</f>
        <v>926962</v>
      </c>
      <c r="L7" s="211">
        <f>+L8+L39</f>
        <v>945000</v>
      </c>
      <c r="M7" s="210">
        <f>L7/K7%</f>
        <v>101.94592658598734</v>
      </c>
      <c r="N7" s="211">
        <f>+N8+N39</f>
        <v>483598</v>
      </c>
      <c r="O7" s="211">
        <f>+O8+O39</f>
        <v>483235</v>
      </c>
      <c r="P7" s="210">
        <f>O7/N7%</f>
        <v>99.924937654829023</v>
      </c>
      <c r="Q7" s="211">
        <f>+Q8+Q39</f>
        <v>633768</v>
      </c>
      <c r="R7" s="211">
        <f>+R8+R39</f>
        <v>655000</v>
      </c>
      <c r="S7" s="210">
        <f>R7/Q7%</f>
        <v>103.35012181113593</v>
      </c>
      <c r="T7" s="211">
        <f>+T8+T39</f>
        <v>1002647</v>
      </c>
      <c r="U7" s="211">
        <f>+U8+U39</f>
        <v>1010000</v>
      </c>
      <c r="V7" s="210">
        <f>U7/T7%</f>
        <v>100.73335879925837</v>
      </c>
      <c r="W7" s="211">
        <f>+W8+W39</f>
        <v>773615</v>
      </c>
      <c r="X7" s="211">
        <f>+X8+X39</f>
        <v>801000</v>
      </c>
      <c r="Y7" s="210">
        <f>X7/W7%</f>
        <v>103.53987448537063</v>
      </c>
      <c r="Z7" s="211">
        <f>+Z8+Z39</f>
        <v>727407</v>
      </c>
      <c r="AA7" s="211">
        <f>+AA8+AA39</f>
        <v>733000</v>
      </c>
      <c r="AB7" s="210">
        <f>AA7/Z7%</f>
        <v>100.76889554266045</v>
      </c>
      <c r="AC7" s="211">
        <f>+AC8+AC39</f>
        <v>679635</v>
      </c>
      <c r="AD7" s="211">
        <f>+AD8+AD39</f>
        <v>722000</v>
      </c>
      <c r="AE7" s="210">
        <f>AD7/AC7%</f>
        <v>106.2334929778484</v>
      </c>
      <c r="AF7" s="211">
        <f>+AF8+AF39</f>
        <v>723957</v>
      </c>
      <c r="AG7" s="211">
        <f>+AG8+AG39</f>
        <v>765000</v>
      </c>
      <c r="AH7" s="210">
        <f>AG7/AF7%</f>
        <v>105.66925936208919</v>
      </c>
      <c r="AI7" s="211">
        <f>+AI8+AI39</f>
        <v>687697</v>
      </c>
      <c r="AJ7" s="211">
        <f>+AJ8+AJ39</f>
        <v>752000</v>
      </c>
      <c r="AK7" s="210">
        <f>AJ7/AI7%</f>
        <v>109.35048429759036</v>
      </c>
      <c r="AL7" s="211">
        <f>+AL8+AL39</f>
        <v>642549</v>
      </c>
      <c r="AM7" s="211">
        <f>+AM8+AM39</f>
        <v>688000</v>
      </c>
      <c r="AN7" s="210">
        <f>AM7/AL7%</f>
        <v>107.07354614200629</v>
      </c>
      <c r="AO7" s="211">
        <f>+AO8+AO39</f>
        <v>649006</v>
      </c>
      <c r="AP7" s="211">
        <f>+AP8+AP39</f>
        <v>686300</v>
      </c>
      <c r="AQ7" s="210">
        <f>AP7/AO7%</f>
        <v>105.74632591994526</v>
      </c>
    </row>
    <row r="8" spans="1:43" s="105" customFormat="1" ht="14.25" x14ac:dyDescent="0.2">
      <c r="A8" s="215" t="s">
        <v>46</v>
      </c>
      <c r="B8" s="216">
        <f>+B9+B14+B37+B38</f>
        <v>14735822.199999999</v>
      </c>
      <c r="C8" s="216">
        <f>+C9+C14+C37+C38</f>
        <v>14651715</v>
      </c>
      <c r="D8" s="104">
        <f>C8/B8%</f>
        <v>99.429233069872424</v>
      </c>
      <c r="E8" s="216">
        <f>+B8-H8</f>
        <v>6807133.1999999993</v>
      </c>
      <c r="F8" s="216">
        <f>+C8-I8</f>
        <v>6494480</v>
      </c>
      <c r="G8" s="104">
        <f>F8/E8%</f>
        <v>95.406976904756334</v>
      </c>
      <c r="H8" s="216">
        <f>+K8+N8+Q8+T8+W8+Z8+AC8+AF8+AI8+AL8+AO8</f>
        <v>7928689</v>
      </c>
      <c r="I8" s="216">
        <f>+L8+O8+R8+U8+X8+AA8+AD8+AG8+AJ8+AM8+AP8</f>
        <v>8157235</v>
      </c>
      <c r="J8" s="104">
        <f>I8/H8%</f>
        <v>102.88251941777511</v>
      </c>
      <c r="K8" s="216">
        <f>+K9+K14+K37+K38</f>
        <v>926731</v>
      </c>
      <c r="L8" s="216">
        <f>+L9+L14+L37+L38</f>
        <v>944000</v>
      </c>
      <c r="M8" s="104">
        <f>L8/K8%</f>
        <v>101.86343178333303</v>
      </c>
      <c r="N8" s="216">
        <f>+N9+N14+N37+N38</f>
        <v>483367</v>
      </c>
      <c r="O8" s="216">
        <f>+O9+O14+O37+O38</f>
        <v>482235</v>
      </c>
      <c r="P8" s="104">
        <f>O8/N8%</f>
        <v>99.765809416033775</v>
      </c>
      <c r="Q8" s="216">
        <f>+Q9+Q14+Q37+Q38</f>
        <v>633561</v>
      </c>
      <c r="R8" s="216">
        <f>+R9+R14+R37+R38</f>
        <v>648000</v>
      </c>
      <c r="S8" s="104">
        <f>R8/Q8%</f>
        <v>102.27902285652053</v>
      </c>
      <c r="T8" s="216">
        <f>+T9+T14+T37+T38</f>
        <v>1002416</v>
      </c>
      <c r="U8" s="216">
        <f>+U9+U14+U37+U38</f>
        <v>1007500</v>
      </c>
      <c r="V8" s="104">
        <f>U8/T8%</f>
        <v>100.50717466600693</v>
      </c>
      <c r="W8" s="216">
        <f>+W9+W14+W37+W38</f>
        <v>773452</v>
      </c>
      <c r="X8" s="216">
        <f>+X9+X14+X37+X38</f>
        <v>796000</v>
      </c>
      <c r="Y8" s="104">
        <f>X8/W8%</f>
        <v>102.91524231626526</v>
      </c>
      <c r="Z8" s="216">
        <f>+Z9+Z14+Z37+Z38</f>
        <v>727176</v>
      </c>
      <c r="AA8" s="216">
        <f>+AA9+AA14+AA37+AA38</f>
        <v>731200</v>
      </c>
      <c r="AB8" s="104">
        <f>AA8/Z8%</f>
        <v>100.55337359868862</v>
      </c>
      <c r="AC8" s="216">
        <f>+AC9+AC14+AC37+AC38</f>
        <v>679404</v>
      </c>
      <c r="AD8" s="216">
        <f>+AD9+AD14+AD37+AD38</f>
        <v>719000</v>
      </c>
      <c r="AE8" s="104">
        <f>AD8/AC8%</f>
        <v>105.82804929026028</v>
      </c>
      <c r="AF8" s="216">
        <f>+AF9+AF14+AF37+AF38</f>
        <v>723794</v>
      </c>
      <c r="AG8" s="216">
        <f>+AG9+AG14+AG37+AG38</f>
        <v>756000</v>
      </c>
      <c r="AH8" s="104">
        <f>AG8/AF8%</f>
        <v>104.44960859028951</v>
      </c>
      <c r="AI8" s="216">
        <f>+AI9+AI14+AI37+AI38</f>
        <v>687558</v>
      </c>
      <c r="AJ8" s="216">
        <f>+AJ9+AJ14+AJ37+AJ38</f>
        <v>714000</v>
      </c>
      <c r="AK8" s="104">
        <f>AJ8/AI8%</f>
        <v>103.84578464653164</v>
      </c>
      <c r="AL8" s="216">
        <f>+AL9+AL14+AL37+AL38</f>
        <v>642431</v>
      </c>
      <c r="AM8" s="216">
        <f>+AM9+AM14+AM37+AM38</f>
        <v>677000</v>
      </c>
      <c r="AN8" s="104">
        <f>AM8/AL8%</f>
        <v>105.38096698322465</v>
      </c>
      <c r="AO8" s="216">
        <f>+AO9+AO14+AO37+AO38</f>
        <v>648799</v>
      </c>
      <c r="AP8" s="216">
        <f>+AP9+AP14+AP37+AP38</f>
        <v>682300</v>
      </c>
      <c r="AQ8" s="104">
        <f>AP8/AO8%</f>
        <v>105.16354063431048</v>
      </c>
    </row>
    <row r="9" spans="1:43" s="105" customFormat="1" ht="14.25" x14ac:dyDescent="0.2">
      <c r="A9" s="217" t="s">
        <v>17</v>
      </c>
      <c r="B9" s="62">
        <f>+B10+B11+B12+B13</f>
        <v>3765576</v>
      </c>
      <c r="C9" s="62">
        <v>3416337</v>
      </c>
      <c r="D9" s="104">
        <f>C9/B9%</f>
        <v>90.725482635325903</v>
      </c>
      <c r="E9" s="62">
        <f>+B9-H9</f>
        <v>3068836</v>
      </c>
      <c r="F9" s="62">
        <f>+C9-I9</f>
        <v>2748337</v>
      </c>
      <c r="G9" s="104">
        <f>F9/E9%</f>
        <v>89.556333411104404</v>
      </c>
      <c r="H9" s="62">
        <f>+K9+N9+Q9+T9+W9+Z9+AC9+AF9+AI9+AL9+AO9</f>
        <v>696740</v>
      </c>
      <c r="I9" s="62">
        <f>+L9+O9+R9+U9+X9+AA9+AD9+AG9+AJ9+AM9+AP9</f>
        <v>668000</v>
      </c>
      <c r="J9" s="104">
        <f>I9/H9%</f>
        <v>95.87507535092</v>
      </c>
      <c r="K9" s="62">
        <f>+K10+K11+K12+K13</f>
        <v>237509</v>
      </c>
      <c r="L9" s="62">
        <v>213000</v>
      </c>
      <c r="M9" s="104">
        <f>L9/K9%</f>
        <v>89.68081209554164</v>
      </c>
      <c r="N9" s="62">
        <f>+N10+N11+N12+N13</f>
        <v>65214</v>
      </c>
      <c r="O9" s="62">
        <v>59000</v>
      </c>
      <c r="P9" s="104">
        <f>O9/N9%</f>
        <v>90.471371177967924</v>
      </c>
      <c r="Q9" s="62">
        <f>+Q10+Q11+Q12+Q13</f>
        <v>52482</v>
      </c>
      <c r="R9" s="62">
        <v>50000</v>
      </c>
      <c r="S9" s="104">
        <f>R9/Q9%</f>
        <v>95.270759498494712</v>
      </c>
      <c r="T9" s="62">
        <f>+T10+T11+T12+T13</f>
        <v>42424</v>
      </c>
      <c r="U9" s="62">
        <v>48000</v>
      </c>
      <c r="V9" s="104">
        <f>U9/T9%</f>
        <v>113.14350367716386</v>
      </c>
      <c r="W9" s="62">
        <f>+W10+W11+W12+W13</f>
        <v>44729</v>
      </c>
      <c r="X9" s="62">
        <v>38000</v>
      </c>
      <c r="Y9" s="104">
        <f>X9/W9%</f>
        <v>84.956068769701986</v>
      </c>
      <c r="Z9" s="62">
        <f>+Z10+Z11+Z12+Z13</f>
        <v>43703</v>
      </c>
      <c r="AA9" s="62">
        <v>39000</v>
      </c>
      <c r="AB9" s="104">
        <f>AA9/Z9%</f>
        <v>89.238725030318292</v>
      </c>
      <c r="AC9" s="62">
        <f>+AC10+AC11+AC12+AC13</f>
        <v>39926</v>
      </c>
      <c r="AD9" s="62">
        <v>45000</v>
      </c>
      <c r="AE9" s="104">
        <f>AD9/AC9%</f>
        <v>112.70851074487803</v>
      </c>
      <c r="AF9" s="62">
        <f>+AF10+AF11+AF12+AF13</f>
        <v>51730</v>
      </c>
      <c r="AG9" s="62">
        <v>46000</v>
      </c>
      <c r="AH9" s="104">
        <f>AG9/AF9%</f>
        <v>88.923255364392048</v>
      </c>
      <c r="AI9" s="62">
        <f>+AI10+AI11+AI12+AI13</f>
        <v>45820</v>
      </c>
      <c r="AJ9" s="62">
        <v>57000</v>
      </c>
      <c r="AK9" s="104">
        <f>AJ9/AI9%</f>
        <v>124.39982540375382</v>
      </c>
      <c r="AL9" s="62">
        <f>+AL10+AL11+AL12+AL13</f>
        <v>38391</v>
      </c>
      <c r="AM9" s="62">
        <v>37000</v>
      </c>
      <c r="AN9" s="104">
        <f>AM9/AL9%</f>
        <v>96.376754968612431</v>
      </c>
      <c r="AO9" s="62">
        <f>+AO10+AO11+AO12+AO13</f>
        <v>34812</v>
      </c>
      <c r="AP9" s="62">
        <v>36000</v>
      </c>
      <c r="AQ9" s="104">
        <f>AP9/AO9%</f>
        <v>103.41261633919338</v>
      </c>
    </row>
    <row r="10" spans="1:43" hidden="1" x14ac:dyDescent="0.25">
      <c r="A10" s="218" t="s">
        <v>47</v>
      </c>
      <c r="B10" s="65">
        <v>1289976</v>
      </c>
      <c r="C10" s="65"/>
      <c r="D10" s="212">
        <f>C10/B10%</f>
        <v>0</v>
      </c>
      <c r="E10" s="65">
        <f>+B10-H10</f>
        <v>867236</v>
      </c>
      <c r="F10" s="65">
        <f>+C10-I10</f>
        <v>0</v>
      </c>
      <c r="G10" s="212">
        <f>F10/E10%</f>
        <v>0</v>
      </c>
      <c r="H10" s="65">
        <f>+K10+N10+Q10+T10+W10+Z10+AC10+AF10+AI10+AL10+AO10</f>
        <v>422740</v>
      </c>
      <c r="I10" s="65">
        <f>+L10+O10+R10+U10+X10+AA10+AD10+AG10+AJ10+AM10+AP10</f>
        <v>0</v>
      </c>
      <c r="J10" s="212"/>
      <c r="K10" s="65">
        <v>87509</v>
      </c>
      <c r="L10" s="65"/>
      <c r="M10" s="212"/>
      <c r="N10" s="65">
        <v>35214</v>
      </c>
      <c r="O10" s="65"/>
      <c r="P10" s="212"/>
      <c r="Q10" s="65">
        <v>32482</v>
      </c>
      <c r="R10" s="65"/>
      <c r="S10" s="212"/>
      <c r="T10" s="65">
        <v>32424</v>
      </c>
      <c r="U10" s="65"/>
      <c r="V10" s="212"/>
      <c r="W10" s="65">
        <v>34729</v>
      </c>
      <c r="X10" s="65"/>
      <c r="Y10" s="212"/>
      <c r="Z10" s="65">
        <v>33703</v>
      </c>
      <c r="AA10" s="65"/>
      <c r="AB10" s="212"/>
      <c r="AC10" s="65">
        <v>29926</v>
      </c>
      <c r="AD10" s="65"/>
      <c r="AE10" s="212"/>
      <c r="AF10" s="65">
        <v>36730</v>
      </c>
      <c r="AG10" s="65"/>
      <c r="AH10" s="212"/>
      <c r="AI10" s="65">
        <v>37820</v>
      </c>
      <c r="AJ10" s="65"/>
      <c r="AK10" s="212"/>
      <c r="AL10" s="65">
        <v>32391</v>
      </c>
      <c r="AM10" s="65"/>
      <c r="AN10" s="212"/>
      <c r="AO10" s="65">
        <v>29812</v>
      </c>
      <c r="AP10" s="65"/>
      <c r="AQ10" s="212"/>
    </row>
    <row r="11" spans="1:43" hidden="1" x14ac:dyDescent="0.25">
      <c r="A11" s="218" t="s">
        <v>48</v>
      </c>
      <c r="B11" s="65">
        <v>500000</v>
      </c>
      <c r="C11" s="65"/>
      <c r="D11" s="212">
        <f>C11/B11%</f>
        <v>0</v>
      </c>
      <c r="E11" s="65">
        <f>+B11-H11</f>
        <v>226000</v>
      </c>
      <c r="F11" s="65">
        <f>+C11-I11</f>
        <v>0</v>
      </c>
      <c r="G11" s="212">
        <f>F11/E11%</f>
        <v>0</v>
      </c>
      <c r="H11" s="65">
        <f>+K11+N11+Q11+T11+W11+Z11+AC11+AF11+AI11+AL11+AO11</f>
        <v>274000</v>
      </c>
      <c r="I11" s="65">
        <f>+L11+O11+R11+U11+X11+AA11+AD11+AG11+AJ11+AM11+AP11</f>
        <v>0</v>
      </c>
      <c r="J11" s="212"/>
      <c r="K11" s="65">
        <v>150000</v>
      </c>
      <c r="L11" s="65"/>
      <c r="M11" s="212"/>
      <c r="N11" s="65">
        <v>30000</v>
      </c>
      <c r="O11" s="65"/>
      <c r="P11" s="212"/>
      <c r="Q11" s="65">
        <v>20000</v>
      </c>
      <c r="R11" s="65"/>
      <c r="S11" s="212"/>
      <c r="T11" s="65">
        <v>10000</v>
      </c>
      <c r="U11" s="65"/>
      <c r="V11" s="212"/>
      <c r="W11" s="65">
        <v>10000</v>
      </c>
      <c r="X11" s="65"/>
      <c r="Y11" s="212"/>
      <c r="Z11" s="65">
        <v>10000</v>
      </c>
      <c r="AA11" s="65"/>
      <c r="AB11" s="212"/>
      <c r="AC11" s="65">
        <v>10000</v>
      </c>
      <c r="AD11" s="65"/>
      <c r="AE11" s="212"/>
      <c r="AF11" s="65">
        <v>15000</v>
      </c>
      <c r="AG11" s="65"/>
      <c r="AH11" s="212"/>
      <c r="AI11" s="65">
        <v>8000</v>
      </c>
      <c r="AJ11" s="65"/>
      <c r="AK11" s="212"/>
      <c r="AL11" s="65">
        <v>6000</v>
      </c>
      <c r="AM11" s="65"/>
      <c r="AN11" s="212"/>
      <c r="AO11" s="65">
        <v>5000</v>
      </c>
      <c r="AP11" s="65"/>
      <c r="AQ11" s="212"/>
    </row>
    <row r="12" spans="1:43" hidden="1" x14ac:dyDescent="0.25">
      <c r="A12" s="218" t="s">
        <v>49</v>
      </c>
      <c r="B12" s="65">
        <v>1700000</v>
      </c>
      <c r="C12" s="65"/>
      <c r="D12" s="212">
        <f>C12/B12%</f>
        <v>0</v>
      </c>
      <c r="E12" s="65">
        <f>+B12-H12</f>
        <v>1700000</v>
      </c>
      <c r="F12" s="65">
        <f>+C12-I12</f>
        <v>0</v>
      </c>
      <c r="G12" s="212">
        <f>F12/E12%</f>
        <v>0</v>
      </c>
      <c r="H12" s="65">
        <f>+K12+N12+Q12+T12+W12+Z12+AC12+AF12+AI12+AL12+AO12</f>
        <v>0</v>
      </c>
      <c r="I12" s="65">
        <f>+L12+O12+R12+U12+X12+AA12+AD12+AG12+AJ12+AM12+AP12</f>
        <v>0</v>
      </c>
      <c r="J12" s="212"/>
      <c r="K12" s="65">
        <v>0</v>
      </c>
      <c r="L12" s="65"/>
      <c r="M12" s="212"/>
      <c r="N12" s="65">
        <v>0</v>
      </c>
      <c r="O12" s="65"/>
      <c r="P12" s="212"/>
      <c r="Q12" s="65">
        <v>0</v>
      </c>
      <c r="R12" s="65"/>
      <c r="S12" s="212"/>
      <c r="T12" s="65">
        <v>0</v>
      </c>
      <c r="U12" s="65"/>
      <c r="V12" s="212"/>
      <c r="W12" s="65">
        <v>0</v>
      </c>
      <c r="X12" s="65"/>
      <c r="Y12" s="212"/>
      <c r="Z12" s="65">
        <v>0</v>
      </c>
      <c r="AA12" s="65"/>
      <c r="AB12" s="212"/>
      <c r="AC12" s="65">
        <v>0</v>
      </c>
      <c r="AD12" s="65"/>
      <c r="AE12" s="212"/>
      <c r="AF12" s="65">
        <v>0</v>
      </c>
      <c r="AG12" s="65"/>
      <c r="AH12" s="212"/>
      <c r="AI12" s="65">
        <v>0</v>
      </c>
      <c r="AJ12" s="65"/>
      <c r="AK12" s="212"/>
      <c r="AL12" s="65">
        <v>0</v>
      </c>
      <c r="AM12" s="65"/>
      <c r="AN12" s="212"/>
      <c r="AO12" s="65">
        <v>0</v>
      </c>
      <c r="AP12" s="65"/>
      <c r="AQ12" s="212"/>
    </row>
    <row r="13" spans="1:43" s="105" customFormat="1" hidden="1" x14ac:dyDescent="0.25">
      <c r="A13" s="218" t="s">
        <v>50</v>
      </c>
      <c r="B13" s="65">
        <v>275600</v>
      </c>
      <c r="C13" s="65"/>
      <c r="D13" s="104">
        <f>C13/B13%</f>
        <v>0</v>
      </c>
      <c r="E13" s="65">
        <f>+B13-H13</f>
        <v>275600</v>
      </c>
      <c r="F13" s="65">
        <f>+C13-I13</f>
        <v>0</v>
      </c>
      <c r="G13" s="104">
        <f>F13/E13%</f>
        <v>0</v>
      </c>
      <c r="H13" s="65">
        <f>+K13+N13+Q13+T13+W13+Z13+AC13+AF13+AI13+AL13+AO13</f>
        <v>0</v>
      </c>
      <c r="I13" s="65">
        <f>+L13+O13+R13+U13+X13+AA13+AD13+AG13+AJ13+AM13+AP13</f>
        <v>0</v>
      </c>
      <c r="J13" s="104" t="e">
        <f>I13/H13%</f>
        <v>#DIV/0!</v>
      </c>
      <c r="K13" s="65">
        <v>0</v>
      </c>
      <c r="L13" s="65"/>
      <c r="M13" s="104" t="e">
        <f>L13/K13%</f>
        <v>#DIV/0!</v>
      </c>
      <c r="N13" s="65">
        <v>0</v>
      </c>
      <c r="O13" s="65"/>
      <c r="P13" s="104" t="e">
        <f>O13/N13%</f>
        <v>#DIV/0!</v>
      </c>
      <c r="Q13" s="65">
        <v>0</v>
      </c>
      <c r="R13" s="65"/>
      <c r="S13" s="104" t="e">
        <f>R13/Q13%</f>
        <v>#DIV/0!</v>
      </c>
      <c r="T13" s="65">
        <v>0</v>
      </c>
      <c r="U13" s="65"/>
      <c r="V13" s="104" t="e">
        <f>U13/T13%</f>
        <v>#DIV/0!</v>
      </c>
      <c r="W13" s="65">
        <v>0</v>
      </c>
      <c r="X13" s="65"/>
      <c r="Y13" s="104" t="e">
        <f>X13/W13%</f>
        <v>#DIV/0!</v>
      </c>
      <c r="Z13" s="65">
        <v>0</v>
      </c>
      <c r="AA13" s="65"/>
      <c r="AB13" s="104" t="e">
        <f>AA13/Z13%</f>
        <v>#DIV/0!</v>
      </c>
      <c r="AC13" s="65">
        <v>0</v>
      </c>
      <c r="AD13" s="65"/>
      <c r="AE13" s="104" t="e">
        <f>AD13/AC13%</f>
        <v>#DIV/0!</v>
      </c>
      <c r="AF13" s="65">
        <v>0</v>
      </c>
      <c r="AG13" s="65"/>
      <c r="AH13" s="104" t="e">
        <f>AG13/AF13%</f>
        <v>#DIV/0!</v>
      </c>
      <c r="AI13" s="65">
        <v>0</v>
      </c>
      <c r="AJ13" s="65"/>
      <c r="AK13" s="104" t="e">
        <f>AJ13/AI13%</f>
        <v>#DIV/0!</v>
      </c>
      <c r="AL13" s="65">
        <v>0</v>
      </c>
      <c r="AM13" s="65"/>
      <c r="AN13" s="104" t="e">
        <f>AM13/AL13%</f>
        <v>#DIV/0!</v>
      </c>
      <c r="AO13" s="65">
        <v>0</v>
      </c>
      <c r="AP13" s="65"/>
      <c r="AQ13" s="104" t="e">
        <f>AP13/AO13%</f>
        <v>#DIV/0!</v>
      </c>
    </row>
    <row r="14" spans="1:43" s="105" customFormat="1" ht="14.25" x14ac:dyDescent="0.2">
      <c r="A14" s="219" t="s">
        <v>18</v>
      </c>
      <c r="B14" s="62">
        <f>+B15+B19+B28+B33+B34+B35+B36</f>
        <v>10679872.199999999</v>
      </c>
      <c r="C14" s="62">
        <f>+C15+C19+C28+C33+C34+C35+C36</f>
        <v>11214208</v>
      </c>
      <c r="D14" s="104">
        <f>C14/B14%</f>
        <v>105.00320406455801</v>
      </c>
      <c r="E14" s="62">
        <f>+B14-H14</f>
        <v>3603389.1999999993</v>
      </c>
      <c r="F14" s="62">
        <f>+C14-I14</f>
        <v>3724973</v>
      </c>
      <c r="G14" s="104">
        <f>F14/E14%</f>
        <v>103.37415120187408</v>
      </c>
      <c r="H14" s="62">
        <f>+K14+N14+Q14+T14+W14+Z14+AC14+AF14+AI14+AL14+AO14</f>
        <v>7076483</v>
      </c>
      <c r="I14" s="62">
        <f>+L14+O14+R14+U14+X14+AA14+AD14+AG14+AJ14+AM14+AP14</f>
        <v>7489235</v>
      </c>
      <c r="J14" s="104">
        <f>I14/H14%</f>
        <v>105.8327279243093</v>
      </c>
      <c r="K14" s="62">
        <f>+K15+K19+K28+K33+K34+K35+K36</f>
        <v>671051</v>
      </c>
      <c r="L14" s="62">
        <f>+L15+L19+L28+L33+L34+L35+L36</f>
        <v>731000</v>
      </c>
      <c r="M14" s="104">
        <f>L14/K14%</f>
        <v>108.93359819149364</v>
      </c>
      <c r="N14" s="62">
        <f>+N15+N19+N28+N33+N34+N35+N36</f>
        <v>408675</v>
      </c>
      <c r="O14" s="62">
        <f>+O15+O19+O28+O33+O34+O35+O36</f>
        <v>423235</v>
      </c>
      <c r="P14" s="104">
        <f>O14/N14%</f>
        <v>103.56273322322139</v>
      </c>
      <c r="Q14" s="62">
        <f>+Q15+Q19+Q28+Q33+Q34+Q35+Q36</f>
        <v>568656</v>
      </c>
      <c r="R14" s="62">
        <f>+R15+R19+R28+R33+R34+R35+R36</f>
        <v>598000</v>
      </c>
      <c r="S14" s="104">
        <f>R14/Q14%</f>
        <v>105.16023747221519</v>
      </c>
      <c r="T14" s="62">
        <f>+T15+T19+T28+T33+T34+T35+T36</f>
        <v>940337</v>
      </c>
      <c r="U14" s="62">
        <f>+U15+U19+U28+U33+U34+U35+U36</f>
        <v>959500</v>
      </c>
      <c r="V14" s="104">
        <f>U14/T14%</f>
        <v>102.03788641731633</v>
      </c>
      <c r="W14" s="62">
        <f>+W15+W19+W28+W33+W34+W35+W36</f>
        <v>713557</v>
      </c>
      <c r="X14" s="62">
        <f>+X15+X19+X28+X33+X34+X35+X36</f>
        <v>758000</v>
      </c>
      <c r="Y14" s="104">
        <f>X14/W14%</f>
        <v>106.22837418734593</v>
      </c>
      <c r="Z14" s="62">
        <f>+Z15+Z19+Z28+Z33+Z34+Z35+Z36</f>
        <v>669215</v>
      </c>
      <c r="AA14" s="62">
        <f>+AA15+AA19+AA28+AA33+AA34+AA35+AA36</f>
        <v>692200</v>
      </c>
      <c r="AB14" s="104">
        <f>AA14/Z14%</f>
        <v>103.43462116061356</v>
      </c>
      <c r="AC14" s="62">
        <f>+AC15+AC19+AC28+AC33+AC34+AC35+AC36</f>
        <v>626156</v>
      </c>
      <c r="AD14" s="62">
        <f>+AD15+AD19+AD28+AD33+AD34+AD35+AD36</f>
        <v>674000</v>
      </c>
      <c r="AE14" s="104">
        <f>AD14/AC14%</f>
        <v>107.64090737771417</v>
      </c>
      <c r="AF14" s="62">
        <f>+AF15+AF19+AF28+AF33+AF34+AF35+AF36</f>
        <v>657872</v>
      </c>
      <c r="AG14" s="62">
        <f>+AG15+AG19+AG28+AG33+AG34+AG35+AG36</f>
        <v>710000</v>
      </c>
      <c r="AH14" s="104">
        <f>AG14/AF14%</f>
        <v>107.92372984410341</v>
      </c>
      <c r="AI14" s="62">
        <f>+AI15+AI19+AI28+AI33+AI34+AI35+AI36</f>
        <v>628256</v>
      </c>
      <c r="AJ14" s="62">
        <f>+AJ15+AJ19+AJ28+AJ33+AJ34+AJ35+AJ36</f>
        <v>657000</v>
      </c>
      <c r="AK14" s="104">
        <f>AJ14/AI14%</f>
        <v>104.57520501196963</v>
      </c>
      <c r="AL14" s="62">
        <f>+AL15+AL19+AL28+AL33+AL34+AL35+AL36</f>
        <v>591443</v>
      </c>
      <c r="AM14" s="62">
        <f>+AM15+AM19+AM28+AM33+AM34+AM35+AM36</f>
        <v>640000</v>
      </c>
      <c r="AN14" s="104">
        <f>AM14/AL14%</f>
        <v>108.20992048261624</v>
      </c>
      <c r="AO14" s="62">
        <f>+AO15+AO19+AO28+AO33+AO34+AO35+AO36</f>
        <v>601265</v>
      </c>
      <c r="AP14" s="62">
        <f>+AP15+AP19+AP28+AP33+AP34+AP35+AP36</f>
        <v>646300</v>
      </c>
      <c r="AQ14" s="104">
        <f>AP14/AO14%</f>
        <v>107.4900418284783</v>
      </c>
    </row>
    <row r="15" spans="1:43" x14ac:dyDescent="0.25">
      <c r="A15" s="220" t="s">
        <v>29</v>
      </c>
      <c r="B15" s="62">
        <f>+B16+B17+B18</f>
        <v>1288594.6000000001</v>
      </c>
      <c r="C15" s="62">
        <f>+C16+C17+C18</f>
        <v>1265000</v>
      </c>
      <c r="D15" s="212">
        <f>C15/B15%</f>
        <v>98.16896640727812</v>
      </c>
      <c r="E15" s="62">
        <f>+B15-H15</f>
        <v>622695.60000000009</v>
      </c>
      <c r="F15" s="62">
        <f>+C15-I15</f>
        <v>600900</v>
      </c>
      <c r="G15" s="212">
        <f>F15/E15%</f>
        <v>96.499798617494633</v>
      </c>
      <c r="H15" s="62">
        <f>+K15+N15+Q15+T15+W15+Z15+AC15+AF15+AI15+AL15+AO15</f>
        <v>665899</v>
      </c>
      <c r="I15" s="62">
        <f>+L15+O15+R15+U15+X15+AA15+AD15+AG15+AJ15+AM15+AP15</f>
        <v>664100</v>
      </c>
      <c r="J15" s="212">
        <f>I15/H15%</f>
        <v>99.729838909504295</v>
      </c>
      <c r="K15" s="62">
        <f t="shared" ref="K15" si="0">+K16+K17+K18</f>
        <v>55693</v>
      </c>
      <c r="L15" s="62">
        <f>+L16+L17+L18</f>
        <v>43900</v>
      </c>
      <c r="M15" s="104">
        <f>L15/K15%</f>
        <v>78.824986982206028</v>
      </c>
      <c r="N15" s="62">
        <f>+N16+N17+N18</f>
        <v>44072</v>
      </c>
      <c r="O15" s="62">
        <f>+O16+O17+O18</f>
        <v>45500</v>
      </c>
      <c r="P15" s="104">
        <f>O15/N15%</f>
        <v>103.24015247776366</v>
      </c>
      <c r="Q15" s="62">
        <f>+Q16+Q17+Q18</f>
        <v>49740</v>
      </c>
      <c r="R15" s="62">
        <f>+R16+R17+R18</f>
        <v>46700</v>
      </c>
      <c r="S15" s="212">
        <f>R15/Q15%</f>
        <v>93.88821873743467</v>
      </c>
      <c r="T15" s="62">
        <f>+T16+T17+T18</f>
        <v>71211</v>
      </c>
      <c r="U15" s="62">
        <f>+U16+U17+U18</f>
        <v>54700</v>
      </c>
      <c r="V15" s="212">
        <f>U15/T15%</f>
        <v>76.8139753689739</v>
      </c>
      <c r="W15" s="62">
        <f>+W16+W17+W18</f>
        <v>55449</v>
      </c>
      <c r="X15" s="62">
        <f>+X16+X17+X18</f>
        <v>52500</v>
      </c>
      <c r="Y15" s="212">
        <f>X15/W15%</f>
        <v>94.681599307471728</v>
      </c>
      <c r="Z15" s="62">
        <f>+Z16+Z17+Z18</f>
        <v>61098</v>
      </c>
      <c r="AA15" s="62">
        <f>+AA16+AA17+AA18</f>
        <v>65500</v>
      </c>
      <c r="AB15" s="212">
        <f>AA15/Z15%</f>
        <v>107.20481848833022</v>
      </c>
      <c r="AC15" s="62">
        <f>+AC16+AC17+AC18</f>
        <v>74931</v>
      </c>
      <c r="AD15" s="62">
        <f>+AD16+AD17+AD18</f>
        <v>88100</v>
      </c>
      <c r="AE15" s="212">
        <f>AD15/AC15%</f>
        <v>117.57483551534079</v>
      </c>
      <c r="AF15" s="62">
        <f>+AF16+AF17+AF18</f>
        <v>71207</v>
      </c>
      <c r="AG15" s="62">
        <f>+AG16+AG17+AG18</f>
        <v>85000</v>
      </c>
      <c r="AH15" s="212">
        <f>AG15/AF15%</f>
        <v>119.37028662912353</v>
      </c>
      <c r="AI15" s="62">
        <f>+AI16+AI17+AI18</f>
        <v>66118</v>
      </c>
      <c r="AJ15" s="62">
        <f>+AJ16+AJ17+AJ18</f>
        <v>60200</v>
      </c>
      <c r="AK15" s="212">
        <f>AJ15/AI15%</f>
        <v>91.049336035572765</v>
      </c>
      <c r="AL15" s="62">
        <f>+AL16+AL17+AL18</f>
        <v>61603</v>
      </c>
      <c r="AM15" s="62">
        <f>+AM16+AM17+AM18</f>
        <v>66000</v>
      </c>
      <c r="AN15" s="212">
        <f>AM15/AL15%</f>
        <v>107.13763940067854</v>
      </c>
      <c r="AO15" s="62">
        <f>+AO16+AO17+AO18</f>
        <v>54777</v>
      </c>
      <c r="AP15" s="62">
        <f>+AP16+AP17+AP18</f>
        <v>56000</v>
      </c>
      <c r="AQ15" s="212">
        <f>AP15/AO15%</f>
        <v>102.23268890227651</v>
      </c>
    </row>
    <row r="16" spans="1:43" hidden="1" x14ac:dyDescent="0.25">
      <c r="A16" s="221" t="s">
        <v>19</v>
      </c>
      <c r="B16" s="65">
        <f>129755+10070+235969.3</f>
        <v>375794.3</v>
      </c>
      <c r="C16" s="65">
        <v>385000</v>
      </c>
      <c r="D16" s="212">
        <f>C16/B16%</f>
        <v>102.44966461705248</v>
      </c>
      <c r="E16" s="65">
        <f>+B16-H16</f>
        <v>260764.3</v>
      </c>
      <c r="F16" s="65">
        <f>+C16-I16</f>
        <v>160000</v>
      </c>
      <c r="G16" s="212">
        <f>F16/E16%</f>
        <v>61.35809234622991</v>
      </c>
      <c r="H16" s="65">
        <f>+K16+N16+Q16+T16+W16+Z16+AC16+AF16+AI16+AL16+AO16</f>
        <v>115030</v>
      </c>
      <c r="I16" s="65">
        <f>+L16+O16+R16+U16+X16+AA16+AD16+AG16+AJ16+AM16+AP16</f>
        <v>225000</v>
      </c>
      <c r="J16" s="212">
        <f>I16/H16%</f>
        <v>195.60114752673218</v>
      </c>
      <c r="K16" s="65">
        <v>2048</v>
      </c>
      <c r="L16" s="65">
        <v>3000</v>
      </c>
      <c r="M16" s="212">
        <f>L16/K16%</f>
        <v>146.484375</v>
      </c>
      <c r="N16" s="65">
        <v>3240</v>
      </c>
      <c r="O16" s="65">
        <v>16000</v>
      </c>
      <c r="P16" s="212">
        <f>O16/N16%</f>
        <v>493.82716049382719</v>
      </c>
      <c r="Q16" s="65">
        <v>5353</v>
      </c>
      <c r="R16" s="65">
        <v>5000</v>
      </c>
      <c r="S16" s="212">
        <f>R16/Q16%</f>
        <v>93.405566971791515</v>
      </c>
      <c r="T16" s="65">
        <v>10581</v>
      </c>
      <c r="U16" s="65">
        <v>11000</v>
      </c>
      <c r="V16" s="212">
        <f>U16/T16%</f>
        <v>103.95992817314053</v>
      </c>
      <c r="W16" s="65">
        <v>10942</v>
      </c>
      <c r="X16" s="65">
        <v>24000</v>
      </c>
      <c r="Y16" s="212">
        <f>X16/W16%</f>
        <v>219.33832937305795</v>
      </c>
      <c r="Z16" s="65">
        <v>15986</v>
      </c>
      <c r="AA16" s="65">
        <v>12000</v>
      </c>
      <c r="AB16" s="212">
        <f>AA16/Z16%</f>
        <v>75.065682472163132</v>
      </c>
      <c r="AC16" s="65">
        <v>13528</v>
      </c>
      <c r="AD16" s="65">
        <v>34000</v>
      </c>
      <c r="AE16" s="212">
        <f>AD16/AC16%</f>
        <v>251.33057362507392</v>
      </c>
      <c r="AF16" s="65">
        <v>20126</v>
      </c>
      <c r="AG16" s="65">
        <v>46000</v>
      </c>
      <c r="AH16" s="212">
        <f>AG16/AF16%</f>
        <v>228.56007154923981</v>
      </c>
      <c r="AI16" s="65">
        <v>19005</v>
      </c>
      <c r="AJ16" s="65">
        <v>32000</v>
      </c>
      <c r="AK16" s="212">
        <f>AJ16/AI16%</f>
        <v>168.3767429623783</v>
      </c>
      <c r="AL16" s="65">
        <v>7926</v>
      </c>
      <c r="AM16" s="65">
        <v>21000</v>
      </c>
      <c r="AN16" s="212">
        <f>AM16/AL16%</f>
        <v>264.95079485238455</v>
      </c>
      <c r="AO16" s="65">
        <v>6295</v>
      </c>
      <c r="AP16" s="65">
        <v>21000</v>
      </c>
      <c r="AQ16" s="212">
        <f>AP16/AO16%</f>
        <v>333.59809372517867</v>
      </c>
    </row>
    <row r="17" spans="1:43" hidden="1" x14ac:dyDescent="0.25">
      <c r="A17" s="221" t="s">
        <v>20</v>
      </c>
      <c r="B17" s="65">
        <v>73530</v>
      </c>
      <c r="C17" s="65">
        <v>120000</v>
      </c>
      <c r="D17" s="212">
        <f>C17/B17%</f>
        <v>163.19869441044472</v>
      </c>
      <c r="E17" s="65">
        <f>+B17-H17</f>
        <v>32830</v>
      </c>
      <c r="F17" s="65">
        <f>+C17-I17</f>
        <v>44200</v>
      </c>
      <c r="G17" s="212">
        <f>F17/E17%</f>
        <v>134.6329576606762</v>
      </c>
      <c r="H17" s="65">
        <f>+K17+N17+Q17+T17+W17+Z17+AC17+AF17+AI17+AL17+AO17</f>
        <v>40700</v>
      </c>
      <c r="I17" s="65">
        <f>+L17+O17+R17+U17+X17+AA17+AD17+AG17+AJ17+AM17+AP17</f>
        <v>75800</v>
      </c>
      <c r="J17" s="212">
        <f>I17/H17%</f>
        <v>186.24078624078624</v>
      </c>
      <c r="K17" s="65">
        <v>3700</v>
      </c>
      <c r="L17" s="65">
        <v>2000</v>
      </c>
      <c r="M17" s="212">
        <f>L17/K17%</f>
        <v>54.054054054054056</v>
      </c>
      <c r="N17" s="65">
        <v>3700</v>
      </c>
      <c r="O17" s="65">
        <v>2000</v>
      </c>
      <c r="P17" s="212">
        <f>O17/N17%</f>
        <v>54.054054054054056</v>
      </c>
      <c r="Q17" s="65">
        <v>3700</v>
      </c>
      <c r="R17" s="65">
        <v>11000</v>
      </c>
      <c r="S17" s="212">
        <f>R17/Q17%</f>
        <v>297.29729729729729</v>
      </c>
      <c r="T17" s="65">
        <v>3700</v>
      </c>
      <c r="U17" s="65">
        <v>3700</v>
      </c>
      <c r="V17" s="212">
        <f>U17/T17%</f>
        <v>100</v>
      </c>
      <c r="W17" s="65">
        <v>3700</v>
      </c>
      <c r="X17" s="65">
        <v>2600</v>
      </c>
      <c r="Y17" s="212">
        <f>X17/W17%</f>
        <v>70.270270270270274</v>
      </c>
      <c r="Z17" s="65">
        <v>3700</v>
      </c>
      <c r="AA17" s="65">
        <v>20000</v>
      </c>
      <c r="AB17" s="212">
        <f>AA17/Z17%</f>
        <v>540.54054054054052</v>
      </c>
      <c r="AC17" s="65">
        <v>3700</v>
      </c>
      <c r="AD17" s="65">
        <v>14000</v>
      </c>
      <c r="AE17" s="212">
        <f>AD17/AC17%</f>
        <v>378.37837837837839</v>
      </c>
      <c r="AF17" s="65">
        <v>3700</v>
      </c>
      <c r="AG17" s="65">
        <v>3000</v>
      </c>
      <c r="AH17" s="212">
        <f>AG17/AF17%</f>
        <v>81.081081081081081</v>
      </c>
      <c r="AI17" s="65">
        <v>3700</v>
      </c>
      <c r="AJ17" s="65">
        <v>3000</v>
      </c>
      <c r="AK17" s="212">
        <f>AJ17/AI17%</f>
        <v>81.081081081081081</v>
      </c>
      <c r="AL17" s="65">
        <v>3700</v>
      </c>
      <c r="AM17" s="65">
        <v>10000</v>
      </c>
      <c r="AN17" s="212">
        <f>AM17/AL17%</f>
        <v>270.27027027027026</v>
      </c>
      <c r="AO17" s="65">
        <v>3700</v>
      </c>
      <c r="AP17" s="65">
        <v>4500</v>
      </c>
      <c r="AQ17" s="212">
        <f>AP17/AO17%</f>
        <v>121.62162162162163</v>
      </c>
    </row>
    <row r="18" spans="1:43" hidden="1" x14ac:dyDescent="0.25">
      <c r="A18" s="221" t="s">
        <v>38</v>
      </c>
      <c r="B18" s="65">
        <f>24624+306100+240075+33102+165369.3+70000</f>
        <v>839270.3</v>
      </c>
      <c r="C18" s="65">
        <v>760000</v>
      </c>
      <c r="D18" s="212">
        <f>C18/B18%</f>
        <v>90.554854615968168</v>
      </c>
      <c r="E18" s="65">
        <f>+B18-H18</f>
        <v>329101.30000000005</v>
      </c>
      <c r="F18" s="65">
        <f>+C18-I18</f>
        <v>396700</v>
      </c>
      <c r="G18" s="212">
        <f>F18/E18%</f>
        <v>120.54039288207004</v>
      </c>
      <c r="H18" s="65">
        <f>+K18+N18+Q18+T18+W18+Z18+AC18+AF18+AI18+AL18+AO18</f>
        <v>510169</v>
      </c>
      <c r="I18" s="65">
        <f>+L18+O18+R18+U18+X18+AA18+AD18+AG18+AJ18+AM18+AP18</f>
        <v>363300</v>
      </c>
      <c r="J18" s="212">
        <f>I18/H18%</f>
        <v>71.211696516252459</v>
      </c>
      <c r="K18" s="65">
        <f>400+45300+2135+2110</f>
        <v>49945</v>
      </c>
      <c r="L18" s="65">
        <v>38900</v>
      </c>
      <c r="M18" s="212">
        <f>L18/K18%</f>
        <v>77.885674241665839</v>
      </c>
      <c r="N18" s="65">
        <f>400+26400+3376+6956</f>
        <v>37132</v>
      </c>
      <c r="O18" s="65">
        <v>27500</v>
      </c>
      <c r="P18" s="212">
        <f>O18/N18%</f>
        <v>74.060109878272115</v>
      </c>
      <c r="Q18" s="65">
        <f>400+28700+5581+6006</f>
        <v>40687</v>
      </c>
      <c r="R18" s="65">
        <v>30700</v>
      </c>
      <c r="S18" s="212">
        <f>R18/Q18%</f>
        <v>75.454076240568241</v>
      </c>
      <c r="T18" s="65">
        <f>400+35500+11030+10000</f>
        <v>56930</v>
      </c>
      <c r="U18" s="65">
        <v>40000</v>
      </c>
      <c r="V18" s="212">
        <f>U18/T18%</f>
        <v>70.261724925346925</v>
      </c>
      <c r="W18" s="65">
        <f>400+23000+11407+6000</f>
        <v>40807</v>
      </c>
      <c r="X18" s="65">
        <v>25900</v>
      </c>
      <c r="Y18" s="212">
        <f>X18/W18%</f>
        <v>63.46950278138555</v>
      </c>
      <c r="Z18" s="65">
        <f>400+18000+16666+6346</f>
        <v>41412</v>
      </c>
      <c r="AA18" s="65">
        <v>33500</v>
      </c>
      <c r="AB18" s="212">
        <f>AA18/Z18%</f>
        <v>80.894426736211727</v>
      </c>
      <c r="AC18" s="65">
        <f>400+33800+14103+9400</f>
        <v>57703</v>
      </c>
      <c r="AD18" s="65">
        <v>40100</v>
      </c>
      <c r="AE18" s="212">
        <f>AD18/AC18%</f>
        <v>69.493787151447933</v>
      </c>
      <c r="AF18" s="65">
        <f>400+19000+20981+7000</f>
        <v>47381</v>
      </c>
      <c r="AG18" s="65">
        <v>36000</v>
      </c>
      <c r="AH18" s="212">
        <f>AG18/AF18%</f>
        <v>75.979823135856151</v>
      </c>
      <c r="AI18" s="65">
        <f>400+18200+19813+5000</f>
        <v>43413</v>
      </c>
      <c r="AJ18" s="65">
        <v>25200</v>
      </c>
      <c r="AK18" s="212">
        <f>AJ18/AI18%</f>
        <v>58.047128740239103</v>
      </c>
      <c r="AL18" s="65">
        <f>400+30000+8263+11314</f>
        <v>49977</v>
      </c>
      <c r="AM18" s="65">
        <v>35000</v>
      </c>
      <c r="AN18" s="212">
        <f>AM18/AL18%</f>
        <v>70.032214818816655</v>
      </c>
      <c r="AO18" s="65">
        <f>400+28200+6682+9500</f>
        <v>44782</v>
      </c>
      <c r="AP18" s="65">
        <v>30500</v>
      </c>
      <c r="AQ18" s="212">
        <f>AP18/AO18%</f>
        <v>68.107721852530034</v>
      </c>
    </row>
    <row r="19" spans="1:43" s="105" customFormat="1" ht="14.25" x14ac:dyDescent="0.2">
      <c r="A19" s="220" t="s">
        <v>30</v>
      </c>
      <c r="B19" s="62">
        <f t="shared" ref="B19:C19" si="1">+B20+B21+B22+B23+B24+B25+B26+B27</f>
        <v>6643739</v>
      </c>
      <c r="C19" s="62">
        <f t="shared" si="1"/>
        <v>6854000</v>
      </c>
      <c r="D19" s="104">
        <f>C19/B19%</f>
        <v>103.16479921923484</v>
      </c>
      <c r="E19" s="62">
        <f>+B19-H19</f>
        <v>2247664</v>
      </c>
      <c r="F19" s="62">
        <f>+C19-I19</f>
        <v>2311870</v>
      </c>
      <c r="G19" s="104">
        <f>F19/E19%</f>
        <v>102.85656575004093</v>
      </c>
      <c r="H19" s="62">
        <f>+K19+N19+Q19+T19+W19+Z19+AC19+AF19+AI19+AL19+AO19</f>
        <v>4396075</v>
      </c>
      <c r="I19" s="62">
        <f>+L19+O19+R19+U19+X19+AA19+AD19+AG19+AJ19+AM19+AP19</f>
        <v>4542130</v>
      </c>
      <c r="J19" s="104">
        <f>I19/H19%</f>
        <v>103.32239554602685</v>
      </c>
      <c r="K19" s="62">
        <f t="shared" ref="K19:L19" si="2">+K20+K21+K22+K23+K24+K25+K26+K27</f>
        <v>433302</v>
      </c>
      <c r="L19" s="62">
        <f t="shared" si="2"/>
        <v>452100</v>
      </c>
      <c r="M19" s="104">
        <f>L19/K19%</f>
        <v>104.33831369345167</v>
      </c>
      <c r="N19" s="62">
        <f t="shared" ref="N19:O19" si="3">+N20+N21+N22+N23+N24+N25+N26+N27</f>
        <v>230890</v>
      </c>
      <c r="O19" s="62">
        <f t="shared" si="3"/>
        <v>240400</v>
      </c>
      <c r="P19" s="104">
        <f>O19/N19%</f>
        <v>104.1188444713933</v>
      </c>
      <c r="Q19" s="62">
        <f t="shared" ref="Q19:R19" si="4">+Q20+Q21+Q22+Q23+Q24+Q25+Q26+Q27</f>
        <v>351541</v>
      </c>
      <c r="R19" s="62">
        <f t="shared" si="4"/>
        <v>361300</v>
      </c>
      <c r="S19" s="104">
        <f>R19/Q19%</f>
        <v>102.77606310501479</v>
      </c>
      <c r="T19" s="62">
        <f t="shared" ref="T19:U19" si="5">+T20+T21+T22+T23+T24+T25+T26+T27</f>
        <v>636570</v>
      </c>
      <c r="U19" s="62">
        <f t="shared" si="5"/>
        <v>655300</v>
      </c>
      <c r="V19" s="104">
        <f>U19/T19%</f>
        <v>102.94233155819471</v>
      </c>
      <c r="W19" s="62">
        <f t="shared" ref="W19:X19" si="6">+W20+W21+W22+W23+W24+W25+W26+W27</f>
        <v>458373</v>
      </c>
      <c r="X19" s="62">
        <f t="shared" si="6"/>
        <v>472500</v>
      </c>
      <c r="Y19" s="104">
        <f>X19/W19%</f>
        <v>103.08198781341834</v>
      </c>
      <c r="Z19" s="62">
        <f t="shared" ref="Z19" si="7">+Z20+Z21+Z22+Z23+Z24+Z25+Z26+Z27</f>
        <v>432439</v>
      </c>
      <c r="AA19" s="62">
        <f>+AA20+AA21+AA22+AA23+AA24+AA25+AA26+AA27</f>
        <v>443700</v>
      </c>
      <c r="AB19" s="104">
        <f>AA19/Z19%</f>
        <v>102.60406670073698</v>
      </c>
      <c r="AC19" s="62">
        <f t="shared" ref="AC19" si="8">+AC20+AC21+AC22+AC23+AC24+AC25+AC26+AC27</f>
        <v>370457</v>
      </c>
      <c r="AD19" s="62">
        <f>+AD20+AD21+AD22+AD23+AD24+AD25+AD26+AD27</f>
        <v>385730</v>
      </c>
      <c r="AE19" s="104">
        <f>AD19/AC19%</f>
        <v>104.12274568978316</v>
      </c>
      <c r="AF19" s="62">
        <f t="shared" ref="AF19" si="9">+AF20+AF21+AF22+AF23+AF24+AF25+AF26+AF27</f>
        <v>401332</v>
      </c>
      <c r="AG19" s="62">
        <f>+AG20+AG21+AG22+AG23+AG24+AG25+AG26+AG27</f>
        <v>414700</v>
      </c>
      <c r="AH19" s="104">
        <f>AG19/AF19%</f>
        <v>103.33090807610657</v>
      </c>
      <c r="AI19" s="62">
        <f t="shared" ref="AI19:AJ19" si="10">+AI20+AI21+AI22+AI23+AI24+AI25+AI26+AI27</f>
        <v>379097</v>
      </c>
      <c r="AJ19" s="62">
        <f t="shared" si="10"/>
        <v>399600</v>
      </c>
      <c r="AK19" s="104">
        <f>AJ19/AI19%</f>
        <v>105.40837833061195</v>
      </c>
      <c r="AL19" s="62">
        <f t="shared" ref="AL19:AM19" si="11">+AL20+AL21+AL22+AL23+AL24+AL25+AL26+AL27</f>
        <v>349239</v>
      </c>
      <c r="AM19" s="62">
        <f t="shared" si="11"/>
        <v>362500</v>
      </c>
      <c r="AN19" s="104">
        <f>AM19/AL19%</f>
        <v>103.7971131517385</v>
      </c>
      <c r="AO19" s="62">
        <f t="shared" ref="AO19" si="12">+AO20+AO21+AO22+AO23+AO24+AO25+AO26+AO27</f>
        <v>352835</v>
      </c>
      <c r="AP19" s="62">
        <f>+AP20+AP21+AP22+AP23+AP24+AP25+AP26+AP27</f>
        <v>354300</v>
      </c>
      <c r="AQ19" s="104">
        <f>AP19/AO19%</f>
        <v>100.41520824181275</v>
      </c>
    </row>
    <row r="20" spans="1:43" x14ac:dyDescent="0.25">
      <c r="A20" s="221" t="s">
        <v>21</v>
      </c>
      <c r="B20" s="65">
        <v>4520008</v>
      </c>
      <c r="C20" s="65">
        <v>4662000</v>
      </c>
      <c r="D20" s="212">
        <f>C20/B20%</f>
        <v>103.14141036918518</v>
      </c>
      <c r="E20" s="65">
        <f>+B20-H20</f>
        <v>919364</v>
      </c>
      <c r="F20" s="65">
        <f>+C20-I20</f>
        <v>1053000</v>
      </c>
      <c r="G20" s="212">
        <f>F20/E20%</f>
        <v>114.53570076705201</v>
      </c>
      <c r="H20" s="65">
        <f>+K20+N20+Q20+T20+W20+Z20+AC20+AF20+AI20+AL20+AO20</f>
        <v>3600644</v>
      </c>
      <c r="I20" s="65">
        <f>+L20+O20+R20+U20+X20+AA20+AD20+AG20+AJ20+AM20+AP20</f>
        <v>3609000</v>
      </c>
      <c r="J20" s="212">
        <f>I20/H20%</f>
        <v>100.23206959643885</v>
      </c>
      <c r="K20" s="65">
        <v>360640</v>
      </c>
      <c r="L20" s="65">
        <v>362000</v>
      </c>
      <c r="M20" s="212">
        <f>L20/K20%</f>
        <v>100.377107364685</v>
      </c>
      <c r="N20" s="65">
        <v>177181</v>
      </c>
      <c r="O20" s="65">
        <v>180000</v>
      </c>
      <c r="P20" s="212">
        <f>O20/N20%</f>
        <v>101.59102838340455</v>
      </c>
      <c r="Q20" s="65">
        <v>269021</v>
      </c>
      <c r="R20" s="65">
        <v>270000</v>
      </c>
      <c r="S20" s="212">
        <f>R20/Q20%</f>
        <v>100.36391211095045</v>
      </c>
      <c r="T20" s="65">
        <v>534502</v>
      </c>
      <c r="U20" s="65">
        <v>535000</v>
      </c>
      <c r="V20" s="212">
        <f>U20/T20%</f>
        <v>100.09317083939816</v>
      </c>
      <c r="W20" s="65">
        <v>384226</v>
      </c>
      <c r="X20" s="65">
        <v>385000</v>
      </c>
      <c r="Y20" s="212">
        <f>X20/W20%</f>
        <v>100.20144394184672</v>
      </c>
      <c r="Z20" s="65">
        <v>339555</v>
      </c>
      <c r="AA20" s="65">
        <v>340000</v>
      </c>
      <c r="AB20" s="212">
        <f>AA20/Z20%</f>
        <v>100.13105387934208</v>
      </c>
      <c r="AC20" s="65">
        <v>304119</v>
      </c>
      <c r="AD20" s="65">
        <v>305000</v>
      </c>
      <c r="AE20" s="212">
        <f>AD20/AC20%</f>
        <v>100.28968923349083</v>
      </c>
      <c r="AF20" s="65">
        <v>338733</v>
      </c>
      <c r="AG20" s="65">
        <v>340000</v>
      </c>
      <c r="AH20" s="212">
        <f>AG20/AF20%</f>
        <v>100.3740409112782</v>
      </c>
      <c r="AI20" s="65">
        <v>316728</v>
      </c>
      <c r="AJ20" s="65">
        <v>314000</v>
      </c>
      <c r="AK20" s="212">
        <f>AJ20/AI20%</f>
        <v>99.138693137329184</v>
      </c>
      <c r="AL20" s="65">
        <v>288845</v>
      </c>
      <c r="AM20" s="65">
        <v>290000</v>
      </c>
      <c r="AN20" s="212">
        <f>AM20/AL20%</f>
        <v>100.3998684415517</v>
      </c>
      <c r="AO20" s="65">
        <v>287094</v>
      </c>
      <c r="AP20" s="65">
        <v>288000</v>
      </c>
      <c r="AQ20" s="212">
        <f>AP20/AO20%</f>
        <v>100.31557608309474</v>
      </c>
    </row>
    <row r="21" spans="1:43" x14ac:dyDescent="0.25">
      <c r="A21" s="221" t="s">
        <v>22</v>
      </c>
      <c r="B21" s="65">
        <v>970883</v>
      </c>
      <c r="C21" s="65">
        <v>1001000</v>
      </c>
      <c r="D21" s="212">
        <f>C21/B21%</f>
        <v>103.10202156181538</v>
      </c>
      <c r="E21" s="65">
        <f>+B21-H21</f>
        <v>967183</v>
      </c>
      <c r="F21" s="65">
        <f>+C21-I21</f>
        <v>892200</v>
      </c>
      <c r="G21" s="212">
        <f>F21/E21%</f>
        <v>92.247278953414195</v>
      </c>
      <c r="H21" s="65">
        <f>+K21+N21+Q21+T21+W21+Z21+AC21+AF21+AI21+AL21+AO21</f>
        <v>3700</v>
      </c>
      <c r="I21" s="65">
        <f>+L21+O21+R21+U21+X21+AA21+AD21+AG21+AJ21+AM21+AP21</f>
        <v>108800</v>
      </c>
      <c r="J21" s="212">
        <f>I21/H21%</f>
        <v>2940.5405405405404</v>
      </c>
      <c r="K21" s="65">
        <v>700</v>
      </c>
      <c r="L21" s="65">
        <v>11000</v>
      </c>
      <c r="M21" s="212">
        <f>L21/K21%</f>
        <v>1571.4285714285713</v>
      </c>
      <c r="N21" s="65">
        <v>300</v>
      </c>
      <c r="O21" s="65">
        <v>4500</v>
      </c>
      <c r="P21" s="212">
        <f>O21/N21%</f>
        <v>1500</v>
      </c>
      <c r="Q21" s="65">
        <v>300</v>
      </c>
      <c r="R21" s="65">
        <v>9000</v>
      </c>
      <c r="S21" s="212">
        <f>R21/Q21%</f>
        <v>3000</v>
      </c>
      <c r="T21" s="65">
        <v>300</v>
      </c>
      <c r="U21" s="65">
        <v>15000</v>
      </c>
      <c r="V21" s="212">
        <f>U21/T21%</f>
        <v>5000</v>
      </c>
      <c r="W21" s="65">
        <v>300</v>
      </c>
      <c r="X21" s="65">
        <v>11000</v>
      </c>
      <c r="Y21" s="212">
        <f>X21/W21%</f>
        <v>3666.6666666666665</v>
      </c>
      <c r="Z21" s="65">
        <v>300</v>
      </c>
      <c r="AA21" s="65">
        <v>11000</v>
      </c>
      <c r="AB21" s="212">
        <f>AA21/Z21%</f>
        <v>3666.6666666666665</v>
      </c>
      <c r="AC21" s="65">
        <v>300</v>
      </c>
      <c r="AD21" s="65">
        <v>9000</v>
      </c>
      <c r="AE21" s="212">
        <f>AD21/AC21%</f>
        <v>3000</v>
      </c>
      <c r="AF21" s="65">
        <v>300</v>
      </c>
      <c r="AG21" s="65">
        <v>11000</v>
      </c>
      <c r="AH21" s="212">
        <f>AG21/AF21%</f>
        <v>3666.6666666666665</v>
      </c>
      <c r="AI21" s="65">
        <v>300</v>
      </c>
      <c r="AJ21" s="65">
        <v>17000</v>
      </c>
      <c r="AK21" s="212">
        <f>AJ21/AI21%</f>
        <v>5666.666666666667</v>
      </c>
      <c r="AL21" s="65">
        <v>300</v>
      </c>
      <c r="AM21" s="65">
        <v>10000</v>
      </c>
      <c r="AN21" s="212">
        <f>AM21/AL21%</f>
        <v>3333.3333333333335</v>
      </c>
      <c r="AO21" s="65">
        <v>300</v>
      </c>
      <c r="AP21" s="65">
        <v>300</v>
      </c>
      <c r="AQ21" s="212">
        <f>AP21/AO21%</f>
        <v>100</v>
      </c>
    </row>
    <row r="22" spans="1:43" x14ac:dyDescent="0.25">
      <c r="A22" s="221" t="s">
        <v>51</v>
      </c>
      <c r="B22" s="65">
        <v>35067</v>
      </c>
      <c r="C22" s="65">
        <v>35000</v>
      </c>
      <c r="D22" s="212">
        <f>C22/B22%</f>
        <v>99.808937177403251</v>
      </c>
      <c r="E22" s="65">
        <f>+B22-H22</f>
        <v>35067</v>
      </c>
      <c r="F22" s="65">
        <f>+C22-I22</f>
        <v>34970</v>
      </c>
      <c r="G22" s="212">
        <f>F22/E22%</f>
        <v>99.723386659822623</v>
      </c>
      <c r="H22" s="65">
        <f>+K22+N22+Q22+T22+W22+Z22+AC22+AF22+AI22+AL22+AO22</f>
        <v>0</v>
      </c>
      <c r="I22" s="65">
        <f>+L22+O22+R22+U22+X22+AA22+AD22+AG22+AJ22+AM22+AP22</f>
        <v>30</v>
      </c>
      <c r="J22" s="212"/>
      <c r="K22" s="65">
        <v>0</v>
      </c>
      <c r="L22" s="65">
        <v>0</v>
      </c>
      <c r="M22" s="212"/>
      <c r="N22" s="65">
        <v>0</v>
      </c>
      <c r="O22" s="65">
        <v>0</v>
      </c>
      <c r="P22" s="212"/>
      <c r="Q22" s="65">
        <v>0</v>
      </c>
      <c r="R22" s="65"/>
      <c r="S22" s="212"/>
      <c r="T22" s="65">
        <v>0</v>
      </c>
      <c r="U22" s="65"/>
      <c r="V22" s="212"/>
      <c r="W22" s="65">
        <v>0</v>
      </c>
      <c r="X22" s="65"/>
      <c r="Y22" s="212"/>
      <c r="Z22" s="65">
        <v>0</v>
      </c>
      <c r="AA22" s="65"/>
      <c r="AB22" s="212"/>
      <c r="AC22" s="65">
        <v>0</v>
      </c>
      <c r="AD22" s="65">
        <v>30</v>
      </c>
      <c r="AE22" s="212"/>
      <c r="AF22" s="65">
        <v>0</v>
      </c>
      <c r="AG22" s="65"/>
      <c r="AH22" s="212"/>
      <c r="AI22" s="65">
        <v>0</v>
      </c>
      <c r="AJ22" s="65"/>
      <c r="AK22" s="212"/>
      <c r="AL22" s="65">
        <v>0</v>
      </c>
      <c r="AM22" s="65"/>
      <c r="AN22" s="212"/>
      <c r="AO22" s="65">
        <v>0</v>
      </c>
      <c r="AP22" s="65"/>
      <c r="AQ22" s="212"/>
    </row>
    <row r="23" spans="1:43" x14ac:dyDescent="0.25">
      <c r="A23" s="221" t="s">
        <v>52</v>
      </c>
      <c r="B23" s="65">
        <v>112774</v>
      </c>
      <c r="C23" s="65">
        <v>119000</v>
      </c>
      <c r="D23" s="212">
        <f>C23/B23%</f>
        <v>105.52077606540514</v>
      </c>
      <c r="E23" s="65">
        <f>+B23-H23</f>
        <v>67211</v>
      </c>
      <c r="F23" s="65">
        <f>+C23-I23</f>
        <v>64300</v>
      </c>
      <c r="G23" s="212">
        <f>F23/E23%</f>
        <v>95.66886372766362</v>
      </c>
      <c r="H23" s="65">
        <f>+K23+N23+Q23+T23+W23+Z23+AC23+AF23+AI23+AL23+AO23</f>
        <v>45563</v>
      </c>
      <c r="I23" s="65">
        <f>+L23+O23+R23+U23+X23+AA23+AD23+AG23+AJ23+AM23+AP23</f>
        <v>54700</v>
      </c>
      <c r="J23" s="212">
        <f>I23/H23%</f>
        <v>120.0535522243926</v>
      </c>
      <c r="K23" s="65">
        <v>5334</v>
      </c>
      <c r="L23" s="65">
        <v>4200</v>
      </c>
      <c r="M23" s="212">
        <f>L23/K23%</f>
        <v>78.740157480314949</v>
      </c>
      <c r="N23" s="65">
        <v>3769</v>
      </c>
      <c r="O23" s="65">
        <v>5400</v>
      </c>
      <c r="P23" s="212">
        <f>O23/N23%</f>
        <v>143.27407800477582</v>
      </c>
      <c r="Q23" s="65">
        <v>3614</v>
      </c>
      <c r="R23" s="65">
        <v>3000</v>
      </c>
      <c r="S23" s="212">
        <f>R23/Q23%</f>
        <v>83.010514665190925</v>
      </c>
      <c r="T23" s="65">
        <v>3075</v>
      </c>
      <c r="U23" s="65">
        <v>7000</v>
      </c>
      <c r="V23" s="212">
        <f>U23/T23%</f>
        <v>227.64227642276424</v>
      </c>
      <c r="W23" s="65">
        <v>4608</v>
      </c>
      <c r="X23" s="65">
        <v>6000</v>
      </c>
      <c r="Y23" s="212">
        <f>X23/W23%</f>
        <v>130.20833333333334</v>
      </c>
      <c r="Z23" s="65">
        <v>4649</v>
      </c>
      <c r="AA23" s="65">
        <v>4500</v>
      </c>
      <c r="AB23" s="212">
        <f>AA23/Z23%</f>
        <v>96.795009679500964</v>
      </c>
      <c r="AC23" s="65">
        <v>4550</v>
      </c>
      <c r="AD23" s="65">
        <v>4500</v>
      </c>
      <c r="AE23" s="212">
        <f>AD23/AC23%</f>
        <v>98.901098901098905</v>
      </c>
      <c r="AF23" s="65">
        <v>5137</v>
      </c>
      <c r="AG23" s="65">
        <v>5600</v>
      </c>
      <c r="AH23" s="212">
        <f>AG23/AF23%</f>
        <v>109.01304263188632</v>
      </c>
      <c r="AI23" s="65">
        <v>3885</v>
      </c>
      <c r="AJ23" s="65">
        <v>8200</v>
      </c>
      <c r="AK23" s="212">
        <f>AJ23/AI23%</f>
        <v>211.06821106821107</v>
      </c>
      <c r="AL23" s="65">
        <v>4107</v>
      </c>
      <c r="AM23" s="65">
        <v>2500</v>
      </c>
      <c r="AN23" s="212">
        <f>AM23/AL23%</f>
        <v>60.871682493304114</v>
      </c>
      <c r="AO23" s="65">
        <v>2835</v>
      </c>
      <c r="AP23" s="65">
        <v>3800</v>
      </c>
      <c r="AQ23" s="212">
        <f>AP23/AO23%</f>
        <v>134.03880070546737</v>
      </c>
    </row>
    <row r="24" spans="1:43" x14ac:dyDescent="0.25">
      <c r="A24" s="221" t="s">
        <v>53</v>
      </c>
      <c r="B24" s="65">
        <v>27478</v>
      </c>
      <c r="C24" s="65">
        <v>29000</v>
      </c>
      <c r="D24" s="212">
        <f>C24/B24%</f>
        <v>105.53897663585416</v>
      </c>
      <c r="E24" s="65">
        <f>+B24-H24</f>
        <v>7283</v>
      </c>
      <c r="F24" s="65">
        <f>+C24-I24</f>
        <v>10200</v>
      </c>
      <c r="G24" s="212">
        <f>F24/E24%</f>
        <v>140.05217630097488</v>
      </c>
      <c r="H24" s="65">
        <f>+K24+N24+Q24+T24+W24+Z24+AC24+AF24+AI24+AL24+AO24</f>
        <v>20195</v>
      </c>
      <c r="I24" s="65">
        <f>+L24+O24+R24+U24+X24+AA24+AD24+AG24+AJ24+AM24+AP24</f>
        <v>18800</v>
      </c>
      <c r="J24" s="212">
        <f>I24/H24%</f>
        <v>93.092349591483043</v>
      </c>
      <c r="K24" s="65">
        <v>1000</v>
      </c>
      <c r="L24" s="65">
        <v>1200</v>
      </c>
      <c r="M24" s="212">
        <f>L24/K24%</f>
        <v>120</v>
      </c>
      <c r="N24" s="65">
        <v>1000</v>
      </c>
      <c r="O24" s="65">
        <v>1500</v>
      </c>
      <c r="P24" s="212">
        <f>O24/N24%</f>
        <v>150</v>
      </c>
      <c r="Q24" s="65">
        <v>2540</v>
      </c>
      <c r="R24" s="65">
        <v>2500</v>
      </c>
      <c r="S24" s="212">
        <f>R24/Q24%</f>
        <v>98.425196850393704</v>
      </c>
      <c r="T24" s="65">
        <v>3041</v>
      </c>
      <c r="U24" s="65">
        <v>0</v>
      </c>
      <c r="V24" s="212">
        <f>U24/T24%</f>
        <v>0</v>
      </c>
      <c r="W24" s="65">
        <v>1000</v>
      </c>
      <c r="X24" s="65">
        <v>1200</v>
      </c>
      <c r="Y24" s="212">
        <f>X24/W24%</f>
        <v>120</v>
      </c>
      <c r="Z24" s="65">
        <v>1000</v>
      </c>
      <c r="AA24" s="65">
        <v>1200</v>
      </c>
      <c r="AB24" s="212">
        <f>AA24/Z24%</f>
        <v>120</v>
      </c>
      <c r="AC24" s="65">
        <v>1000</v>
      </c>
      <c r="AD24" s="65">
        <v>1200</v>
      </c>
      <c r="AE24" s="212">
        <f>AD24/AC24%</f>
        <v>120</v>
      </c>
      <c r="AF24" s="65">
        <v>1000</v>
      </c>
      <c r="AG24" s="65">
        <v>600</v>
      </c>
      <c r="AH24" s="212">
        <f>AG24/AF24%</f>
        <v>60</v>
      </c>
      <c r="AI24" s="65">
        <v>3113</v>
      </c>
      <c r="AJ24" s="65">
        <v>4200</v>
      </c>
      <c r="AK24" s="212">
        <f>AJ24/AI24%</f>
        <v>134.91808544812079</v>
      </c>
      <c r="AL24" s="65">
        <v>2837</v>
      </c>
      <c r="AM24" s="65">
        <v>2000</v>
      </c>
      <c r="AN24" s="212">
        <f>AM24/AL24%</f>
        <v>70.497003877335217</v>
      </c>
      <c r="AO24" s="65">
        <v>2664</v>
      </c>
      <c r="AP24" s="65">
        <v>3200</v>
      </c>
      <c r="AQ24" s="212">
        <f>AP24/AO24%</f>
        <v>120.12012012012012</v>
      </c>
    </row>
    <row r="25" spans="1:43" x14ac:dyDescent="0.25">
      <c r="A25" s="221" t="s">
        <v>23</v>
      </c>
      <c r="B25" s="65">
        <v>124427</v>
      </c>
      <c r="C25" s="65">
        <v>128000</v>
      </c>
      <c r="D25" s="212">
        <f>C25/B25%</f>
        <v>102.87156324591929</v>
      </c>
      <c r="E25" s="65">
        <f>+B25-H25</f>
        <v>113177</v>
      </c>
      <c r="F25" s="65">
        <f>+C25-I25</f>
        <v>115500</v>
      </c>
      <c r="G25" s="212">
        <f>F25/E25%</f>
        <v>102.0525371762814</v>
      </c>
      <c r="H25" s="65">
        <f>+K25+N25+Q25+T25+W25+Z25+AC25+AF25+AI25+AL25+AO25</f>
        <v>11250</v>
      </c>
      <c r="I25" s="65">
        <f>+L25+O25+R25+U25+X25+AA25+AD25+AG25+AJ25+AM25+AP25</f>
        <v>12500</v>
      </c>
      <c r="J25" s="212">
        <f>I25/H25%</f>
        <v>111.11111111111111</v>
      </c>
      <c r="K25" s="65">
        <v>1000</v>
      </c>
      <c r="L25" s="65">
        <v>700</v>
      </c>
      <c r="M25" s="212">
        <f>L25/K25%</f>
        <v>70</v>
      </c>
      <c r="N25" s="65">
        <v>1050</v>
      </c>
      <c r="O25" s="65">
        <v>1000</v>
      </c>
      <c r="P25" s="212">
        <f>O25/N25%</f>
        <v>95.238095238095241</v>
      </c>
      <c r="Q25" s="65">
        <v>1050</v>
      </c>
      <c r="R25" s="65">
        <v>800</v>
      </c>
      <c r="S25" s="212">
        <f>R25/Q25%</f>
        <v>76.19047619047619</v>
      </c>
      <c r="T25" s="65">
        <v>1000</v>
      </c>
      <c r="U25" s="65">
        <v>0</v>
      </c>
      <c r="V25" s="212">
        <f>U25/T25%</f>
        <v>0</v>
      </c>
      <c r="W25" s="65">
        <v>1000</v>
      </c>
      <c r="X25" s="65">
        <v>1300</v>
      </c>
      <c r="Y25" s="212">
        <f>X25/W25%</f>
        <v>130</v>
      </c>
      <c r="Z25" s="65">
        <v>1000</v>
      </c>
      <c r="AA25" s="65">
        <v>1000</v>
      </c>
      <c r="AB25" s="212">
        <f>AA25/Z25%</f>
        <v>100</v>
      </c>
      <c r="AC25" s="65">
        <v>1000</v>
      </c>
      <c r="AD25" s="65">
        <v>1000</v>
      </c>
      <c r="AE25" s="212">
        <f>AD25/AC25%</f>
        <v>100</v>
      </c>
      <c r="AF25" s="65">
        <v>1000</v>
      </c>
      <c r="AG25" s="65">
        <v>500</v>
      </c>
      <c r="AH25" s="212">
        <f>AG25/AF25%</f>
        <v>50</v>
      </c>
      <c r="AI25" s="65">
        <v>1050</v>
      </c>
      <c r="AJ25" s="65">
        <v>1200</v>
      </c>
      <c r="AK25" s="212">
        <f>AJ25/AI25%</f>
        <v>114.28571428571429</v>
      </c>
      <c r="AL25" s="65">
        <v>1050</v>
      </c>
      <c r="AM25" s="65">
        <v>5000</v>
      </c>
      <c r="AN25" s="212">
        <f>AM25/AL25%</f>
        <v>476.1904761904762</v>
      </c>
      <c r="AO25" s="65">
        <v>1050</v>
      </c>
      <c r="AP25" s="65">
        <v>0</v>
      </c>
      <c r="AQ25" s="212">
        <f>AP25/AO25%</f>
        <v>0</v>
      </c>
    </row>
    <row r="26" spans="1:43" x14ac:dyDescent="0.25">
      <c r="A26" s="221" t="s">
        <v>24</v>
      </c>
      <c r="B26" s="65">
        <v>840102</v>
      </c>
      <c r="C26" s="65">
        <v>880000</v>
      </c>
      <c r="D26" s="212">
        <f>C26/B26%</f>
        <v>104.74918521798543</v>
      </c>
      <c r="E26" s="65">
        <f>+B26-H26</f>
        <v>125379</v>
      </c>
      <c r="F26" s="65">
        <f>+C26-I26</f>
        <v>141700</v>
      </c>
      <c r="G26" s="212">
        <f>F26/E26%</f>
        <v>113.01733145104045</v>
      </c>
      <c r="H26" s="65">
        <f>+K26+N26+Q26+T26+W26+Z26+AC26+AF26+AI26+AL26+AO26</f>
        <v>714723</v>
      </c>
      <c r="I26" s="65">
        <f>+L26+O26+R26+U26+X26+AA26+AD26+AG26+AJ26+AM26+AP26</f>
        <v>738300</v>
      </c>
      <c r="J26" s="212">
        <f>I26/H26%</f>
        <v>103.29876049882263</v>
      </c>
      <c r="K26" s="65">
        <v>64628</v>
      </c>
      <c r="L26" s="65">
        <v>73000</v>
      </c>
      <c r="M26" s="212">
        <f>L26/K26%</f>
        <v>112.95413752553074</v>
      </c>
      <c r="N26" s="65">
        <v>47590</v>
      </c>
      <c r="O26" s="65">
        <v>48000</v>
      </c>
      <c r="P26" s="212">
        <f>O26/N26%</f>
        <v>100.86152553057366</v>
      </c>
      <c r="Q26" s="65">
        <v>75016</v>
      </c>
      <c r="R26" s="65">
        <v>76000</v>
      </c>
      <c r="S26" s="212">
        <f>R26/Q26%</f>
        <v>101.31172016636451</v>
      </c>
      <c r="T26" s="65">
        <v>94652</v>
      </c>
      <c r="U26" s="65">
        <v>98300</v>
      </c>
      <c r="V26" s="212">
        <f>U26/T26%</f>
        <v>103.85411824367155</v>
      </c>
      <c r="W26" s="65">
        <v>67239</v>
      </c>
      <c r="X26" s="65">
        <v>68000</v>
      </c>
      <c r="Y26" s="212">
        <f>X26/W26%</f>
        <v>101.1317836374723</v>
      </c>
      <c r="Z26" s="65">
        <v>85935</v>
      </c>
      <c r="AA26" s="65">
        <v>86000</v>
      </c>
      <c r="AB26" s="212">
        <f>AA26/Z26%</f>
        <v>100.07563856403095</v>
      </c>
      <c r="AC26" s="65">
        <v>59488</v>
      </c>
      <c r="AD26" s="65">
        <v>65000</v>
      </c>
      <c r="AE26" s="212">
        <f>AD26/AC26%</f>
        <v>109.26573426573427</v>
      </c>
      <c r="AF26" s="65">
        <v>55162</v>
      </c>
      <c r="AG26" s="65">
        <v>57000</v>
      </c>
      <c r="AH26" s="212">
        <f>AG26/AF26%</f>
        <v>103.33200391573909</v>
      </c>
      <c r="AI26" s="65">
        <v>54021</v>
      </c>
      <c r="AJ26" s="65">
        <v>55000</v>
      </c>
      <c r="AK26" s="212">
        <f>AJ26/AI26%</f>
        <v>101.81225819588678</v>
      </c>
      <c r="AL26" s="65">
        <v>52100</v>
      </c>
      <c r="AM26" s="65">
        <v>53000</v>
      </c>
      <c r="AN26" s="212">
        <f>AM26/AL26%</f>
        <v>101.7274472168906</v>
      </c>
      <c r="AO26" s="65">
        <v>58892</v>
      </c>
      <c r="AP26" s="65">
        <v>59000</v>
      </c>
      <c r="AQ26" s="212">
        <f>AP26/AO26%</f>
        <v>100.1833865380697</v>
      </c>
    </row>
    <row r="27" spans="1:43" s="105" customFormat="1" hidden="1" x14ac:dyDescent="0.25">
      <c r="A27" s="221" t="s">
        <v>25</v>
      </c>
      <c r="B27" s="65">
        <v>13000</v>
      </c>
      <c r="C27" s="65">
        <v>0</v>
      </c>
      <c r="D27" s="104">
        <f>C27/B27%</f>
        <v>0</v>
      </c>
      <c r="E27" s="65">
        <f>+B27-H27</f>
        <v>13000</v>
      </c>
      <c r="F27" s="65">
        <f>+C27-I27</f>
        <v>0</v>
      </c>
      <c r="G27" s="212">
        <f>F27/E27%</f>
        <v>0</v>
      </c>
      <c r="H27" s="65">
        <f>+K27+N27+Q27+T27+W27+Z27+AC27+AF27+AI27+AL27+AO27</f>
        <v>0</v>
      </c>
      <c r="I27" s="65">
        <f>+L27+O27+R27+U27+X27+AA27+AD27+AG27+AJ27+AM27+AP27</f>
        <v>0</v>
      </c>
      <c r="J27" s="104" t="e">
        <f>I27/H27%</f>
        <v>#DIV/0!</v>
      </c>
      <c r="K27" s="65">
        <v>0</v>
      </c>
      <c r="L27" s="65"/>
      <c r="M27" s="104" t="e">
        <f>L27/K27%</f>
        <v>#DIV/0!</v>
      </c>
      <c r="N27" s="65">
        <v>0</v>
      </c>
      <c r="O27" s="65"/>
      <c r="P27" s="104" t="e">
        <f>O27/N27%</f>
        <v>#DIV/0!</v>
      </c>
      <c r="Q27" s="65">
        <v>0</v>
      </c>
      <c r="R27" s="65"/>
      <c r="S27" s="104" t="e">
        <f>R27/Q27%</f>
        <v>#DIV/0!</v>
      </c>
      <c r="T27" s="65">
        <v>0</v>
      </c>
      <c r="U27" s="65"/>
      <c r="V27" s="104" t="e">
        <f>U27/T27%</f>
        <v>#DIV/0!</v>
      </c>
      <c r="W27" s="65">
        <v>0</v>
      </c>
      <c r="X27" s="65"/>
      <c r="Y27" s="104" t="e">
        <f>X27/W27%</f>
        <v>#DIV/0!</v>
      </c>
      <c r="Z27" s="65">
        <v>0</v>
      </c>
      <c r="AA27" s="65"/>
      <c r="AB27" s="104" t="e">
        <f>AA27/Z27%</f>
        <v>#DIV/0!</v>
      </c>
      <c r="AC27" s="65">
        <v>0</v>
      </c>
      <c r="AD27" s="65"/>
      <c r="AE27" s="104" t="e">
        <f>AD27/AC27%</f>
        <v>#DIV/0!</v>
      </c>
      <c r="AF27" s="65">
        <v>0</v>
      </c>
      <c r="AG27" s="65"/>
      <c r="AH27" s="104" t="e">
        <f>AG27/AF27%</f>
        <v>#DIV/0!</v>
      </c>
      <c r="AI27" s="65">
        <v>0</v>
      </c>
      <c r="AJ27" s="65"/>
      <c r="AK27" s="104" t="e">
        <f>AJ27/AI27%</f>
        <v>#DIV/0!</v>
      </c>
      <c r="AL27" s="65">
        <v>0</v>
      </c>
      <c r="AM27" s="65"/>
      <c r="AN27" s="104" t="e">
        <f>AM27/AL27%</f>
        <v>#DIV/0!</v>
      </c>
      <c r="AO27" s="65">
        <v>0</v>
      </c>
      <c r="AP27" s="65"/>
      <c r="AQ27" s="104" t="e">
        <f>AP27/AO27%</f>
        <v>#DIV/0!</v>
      </c>
    </row>
    <row r="28" spans="1:43" x14ac:dyDescent="0.25">
      <c r="A28" s="220" t="s">
        <v>31</v>
      </c>
      <c r="B28" s="62">
        <f>SUM(B29:B32)</f>
        <v>908433</v>
      </c>
      <c r="C28" s="62">
        <v>972000</v>
      </c>
      <c r="D28" s="104">
        <f>C28/B28%</f>
        <v>106.99743404301694</v>
      </c>
      <c r="E28" s="62">
        <f>+B28-H28</f>
        <v>401959</v>
      </c>
      <c r="F28" s="62">
        <f>+C28-I28</f>
        <v>427000</v>
      </c>
      <c r="G28" s="104">
        <f>F28/E28%</f>
        <v>106.22973984908909</v>
      </c>
      <c r="H28" s="62">
        <f>+K28+N28+Q28+T28+W28+Z28+AC28+AF28+AI28+AL28+AO28</f>
        <v>506474</v>
      </c>
      <c r="I28" s="62">
        <f>+L28+O28+R28+U28+X28+AA28+AD28+AG28+AJ28+AM28+AP28</f>
        <v>545000</v>
      </c>
      <c r="J28" s="104">
        <f>I28/H28%</f>
        <v>107.6067083404084</v>
      </c>
      <c r="K28" s="62">
        <f>SUM(K29:K32)</f>
        <v>36745</v>
      </c>
      <c r="L28" s="62">
        <v>37000</v>
      </c>
      <c r="M28" s="104">
        <f>L28/K28%</f>
        <v>100.69397196897538</v>
      </c>
      <c r="N28" s="62">
        <f>SUM(N29:N32)</f>
        <v>45649</v>
      </c>
      <c r="O28" s="62">
        <v>46000</v>
      </c>
      <c r="P28" s="104">
        <f>O28/N28%</f>
        <v>100.76891060045126</v>
      </c>
      <c r="Q28" s="62">
        <f>SUM(Q29:Q32)</f>
        <v>41616</v>
      </c>
      <c r="R28" s="62">
        <v>42000</v>
      </c>
      <c r="S28" s="104">
        <f>R28/Q28%</f>
        <v>100.92272202998846</v>
      </c>
      <c r="T28" s="62">
        <f>SUM(T29:T32)</f>
        <v>52568</v>
      </c>
      <c r="U28" s="62">
        <v>53000</v>
      </c>
      <c r="V28" s="104">
        <f>U28/T28%</f>
        <v>100.82179272561255</v>
      </c>
      <c r="W28" s="62">
        <f>SUM(W29:W32)</f>
        <v>47712</v>
      </c>
      <c r="X28" s="62">
        <v>61000</v>
      </c>
      <c r="Y28" s="104">
        <f>X28/W28%</f>
        <v>127.8504359490275</v>
      </c>
      <c r="Z28" s="62">
        <f>SUM(Z29:Z32)</f>
        <v>40187</v>
      </c>
      <c r="AA28" s="62">
        <v>41000</v>
      </c>
      <c r="AB28" s="104">
        <f>AA28/Z28%</f>
        <v>102.02304227735337</v>
      </c>
      <c r="AC28" s="62">
        <f>SUM(AC29:AC32)</f>
        <v>57672</v>
      </c>
      <c r="AD28" s="62">
        <v>58000</v>
      </c>
      <c r="AE28" s="104">
        <f>AD28/AC28%</f>
        <v>100.56873352753502</v>
      </c>
      <c r="AF28" s="62">
        <f>SUM(AF29:AF32)</f>
        <v>48766</v>
      </c>
      <c r="AG28" s="62">
        <v>50000</v>
      </c>
      <c r="AH28" s="104">
        <f>AG28/AF28%</f>
        <v>102.5304515441086</v>
      </c>
      <c r="AI28" s="62">
        <f>SUM(AI29:AI32)</f>
        <v>42660</v>
      </c>
      <c r="AJ28" s="62">
        <v>43000</v>
      </c>
      <c r="AK28" s="104">
        <f>AJ28/AI28%</f>
        <v>100.79699953117674</v>
      </c>
      <c r="AL28" s="62">
        <f>SUM(AL29:AL32)</f>
        <v>43440</v>
      </c>
      <c r="AM28" s="62">
        <v>60000</v>
      </c>
      <c r="AN28" s="104">
        <f>AM28/AL28%</f>
        <v>138.12154696132598</v>
      </c>
      <c r="AO28" s="62">
        <f>SUM(AO29:AO32)</f>
        <v>49459</v>
      </c>
      <c r="AP28" s="62">
        <v>54000</v>
      </c>
      <c r="AQ28" s="104">
        <f>AP28/AO28%</f>
        <v>109.18134212175742</v>
      </c>
    </row>
    <row r="29" spans="1:43" hidden="1" x14ac:dyDescent="0.25">
      <c r="A29" s="221" t="s">
        <v>54</v>
      </c>
      <c r="B29" s="65">
        <v>493895</v>
      </c>
      <c r="C29" s="65"/>
      <c r="D29" s="212">
        <f>C29/B29%</f>
        <v>0</v>
      </c>
      <c r="E29" s="65">
        <f>+B29-H29</f>
        <v>233274</v>
      </c>
      <c r="F29" s="65">
        <f>+C29-I29</f>
        <v>0</v>
      </c>
      <c r="G29" s="212"/>
      <c r="H29" s="65">
        <f>+K29+N29+Q29+T29+W29+Z29+AC29+AF29+AI29+AL29+AO29</f>
        <v>260621</v>
      </c>
      <c r="I29" s="65">
        <f>+L29+O29+R29+U29+X29+AA29+AD29+AG29+AJ29+AM29+AP29</f>
        <v>0</v>
      </c>
      <c r="J29" s="104">
        <f>I29/H29%</f>
        <v>0</v>
      </c>
      <c r="K29" s="65">
        <v>15499</v>
      </c>
      <c r="L29" s="65"/>
      <c r="M29" s="104">
        <f>L29/K29%</f>
        <v>0</v>
      </c>
      <c r="N29" s="65">
        <v>23658</v>
      </c>
      <c r="O29" s="65"/>
      <c r="P29" s="104">
        <f>O29/N29%</f>
        <v>0</v>
      </c>
      <c r="Q29" s="65">
        <v>23981</v>
      </c>
      <c r="R29" s="65"/>
      <c r="S29" s="104">
        <f>R29/Q29%</f>
        <v>0</v>
      </c>
      <c r="T29" s="65">
        <v>28596</v>
      </c>
      <c r="U29" s="65"/>
      <c r="V29" s="104">
        <f>U29/T29%</f>
        <v>0</v>
      </c>
      <c r="W29" s="65">
        <v>24403</v>
      </c>
      <c r="X29" s="65"/>
      <c r="Y29" s="104">
        <f>X29/W29%</f>
        <v>0</v>
      </c>
      <c r="Z29" s="65">
        <v>19457</v>
      </c>
      <c r="AA29" s="65"/>
      <c r="AB29" s="104">
        <f>AA29/Z29%</f>
        <v>0</v>
      </c>
      <c r="AC29" s="65">
        <v>29004</v>
      </c>
      <c r="AD29" s="65"/>
      <c r="AE29" s="104">
        <f>AD29/AC29%</f>
        <v>0</v>
      </c>
      <c r="AF29" s="65">
        <v>24280</v>
      </c>
      <c r="AG29" s="65"/>
      <c r="AH29" s="104">
        <f>AG29/AF29%</f>
        <v>0</v>
      </c>
      <c r="AI29" s="65">
        <v>25538</v>
      </c>
      <c r="AJ29" s="65"/>
      <c r="AK29" s="104">
        <f>AJ29/AI29%</f>
        <v>0</v>
      </c>
      <c r="AL29" s="65">
        <v>22824</v>
      </c>
      <c r="AM29" s="65"/>
      <c r="AN29" s="104">
        <f>AM29/AL29%</f>
        <v>0</v>
      </c>
      <c r="AO29" s="65">
        <v>23381</v>
      </c>
      <c r="AP29" s="65"/>
      <c r="AQ29" s="104">
        <f>AP29/AO29%</f>
        <v>0</v>
      </c>
    </row>
    <row r="30" spans="1:43" hidden="1" x14ac:dyDescent="0.25">
      <c r="A30" s="221" t="s">
        <v>55</v>
      </c>
      <c r="B30" s="65">
        <v>174770</v>
      </c>
      <c r="C30" s="65"/>
      <c r="D30" s="212">
        <f>C30/B30%</f>
        <v>0</v>
      </c>
      <c r="E30" s="65">
        <f>+B30-H30</f>
        <v>69124</v>
      </c>
      <c r="F30" s="65">
        <f>+C30-I30</f>
        <v>0</v>
      </c>
      <c r="G30" s="212"/>
      <c r="H30" s="65">
        <f>+K30+N30+Q30+T30+W30+Z30+AC30+AF30+AI30+AL30+AO30</f>
        <v>105646</v>
      </c>
      <c r="I30" s="65">
        <f>+L30+O30+R30+U30+X30+AA30+AD30+AG30+AJ30+AM30+AP30</f>
        <v>0</v>
      </c>
      <c r="J30" s="104">
        <f>I30/H30%</f>
        <v>0</v>
      </c>
      <c r="K30" s="65">
        <v>13612</v>
      </c>
      <c r="L30" s="65"/>
      <c r="M30" s="104">
        <f>L30/K30%</f>
        <v>0</v>
      </c>
      <c r="N30" s="65">
        <v>13018</v>
      </c>
      <c r="O30" s="65"/>
      <c r="P30" s="104">
        <f>O30/N30%</f>
        <v>0</v>
      </c>
      <c r="Q30" s="65">
        <v>8563</v>
      </c>
      <c r="R30" s="65"/>
      <c r="S30" s="104">
        <f>R30/Q30%</f>
        <v>0</v>
      </c>
      <c r="T30" s="65">
        <v>7176</v>
      </c>
      <c r="U30" s="65"/>
      <c r="V30" s="104">
        <f>U30/T30%</f>
        <v>0</v>
      </c>
      <c r="W30" s="65">
        <v>10826</v>
      </c>
      <c r="X30" s="65"/>
      <c r="Y30" s="104">
        <f>X30/W30%</f>
        <v>0</v>
      </c>
      <c r="Z30" s="65">
        <v>10929</v>
      </c>
      <c r="AA30" s="65"/>
      <c r="AB30" s="104">
        <f>AA30/Z30%</f>
        <v>0</v>
      </c>
      <c r="AC30" s="65">
        <v>7574</v>
      </c>
      <c r="AD30" s="65"/>
      <c r="AE30" s="104">
        <f>AD30/AC30%</f>
        <v>0</v>
      </c>
      <c r="AF30" s="65">
        <v>10403</v>
      </c>
      <c r="AG30" s="65"/>
      <c r="AH30" s="104">
        <f>AG30/AF30%</f>
        <v>0</v>
      </c>
      <c r="AI30" s="65">
        <v>7903</v>
      </c>
      <c r="AJ30" s="65"/>
      <c r="AK30" s="104">
        <f>AJ30/AI30%</f>
        <v>0</v>
      </c>
      <c r="AL30" s="65">
        <v>8106</v>
      </c>
      <c r="AM30" s="65"/>
      <c r="AN30" s="104">
        <f>AM30/AL30%</f>
        <v>0</v>
      </c>
      <c r="AO30" s="65">
        <v>7536</v>
      </c>
      <c r="AP30" s="65"/>
      <c r="AQ30" s="104">
        <f>AP30/AO30%</f>
        <v>0</v>
      </c>
    </row>
    <row r="31" spans="1:43" hidden="1" x14ac:dyDescent="0.25">
      <c r="A31" s="221" t="s">
        <v>56</v>
      </c>
      <c r="B31" s="65">
        <v>117268</v>
      </c>
      <c r="C31" s="65"/>
      <c r="D31" s="212"/>
      <c r="E31" s="65">
        <f>+B31-H31</f>
        <v>49561</v>
      </c>
      <c r="F31" s="65">
        <f>+C31-I31</f>
        <v>0</v>
      </c>
      <c r="G31" s="212"/>
      <c r="H31" s="65">
        <f>+K31+N31+Q31+T31+W31+Z31+AC31+AF31+AI31+AL31+AO31</f>
        <v>67707</v>
      </c>
      <c r="I31" s="65">
        <f>+L31+O31+R31+U31+X31+AA31+AD31+AG31+AJ31+AM31+AP31</f>
        <v>0</v>
      </c>
      <c r="J31" s="104">
        <f>I31/H31%</f>
        <v>0</v>
      </c>
      <c r="K31" s="65">
        <v>5134</v>
      </c>
      <c r="L31" s="65"/>
      <c r="M31" s="104">
        <f>L31/K31%</f>
        <v>0</v>
      </c>
      <c r="N31" s="65">
        <v>4973</v>
      </c>
      <c r="O31" s="65"/>
      <c r="P31" s="104">
        <f>O31/N31%</f>
        <v>0</v>
      </c>
      <c r="Q31" s="65">
        <v>5372</v>
      </c>
      <c r="R31" s="65"/>
      <c r="S31" s="104">
        <f>R31/Q31%</f>
        <v>0</v>
      </c>
      <c r="T31" s="65">
        <v>5796</v>
      </c>
      <c r="U31" s="65"/>
      <c r="V31" s="104">
        <f>U31/T31%</f>
        <v>0</v>
      </c>
      <c r="W31" s="65">
        <v>4483</v>
      </c>
      <c r="X31" s="65"/>
      <c r="Y31" s="104">
        <f>X31/W31%</f>
        <v>0</v>
      </c>
      <c r="Z31" s="65">
        <v>5301</v>
      </c>
      <c r="AA31" s="65"/>
      <c r="AB31" s="104">
        <f>AA31/Z31%</f>
        <v>0</v>
      </c>
      <c r="AC31" s="65">
        <v>8094</v>
      </c>
      <c r="AD31" s="65"/>
      <c r="AE31" s="104">
        <f>AD31/AC31%</f>
        <v>0</v>
      </c>
      <c r="AF31" s="65">
        <v>6583</v>
      </c>
      <c r="AG31" s="65"/>
      <c r="AH31" s="104">
        <f>AG31/AF31%</f>
        <v>0</v>
      </c>
      <c r="AI31" s="65">
        <v>7719</v>
      </c>
      <c r="AJ31" s="65"/>
      <c r="AK31" s="104">
        <f>AJ31/AI31%</f>
        <v>0</v>
      </c>
      <c r="AL31" s="65">
        <v>5710</v>
      </c>
      <c r="AM31" s="65"/>
      <c r="AN31" s="104">
        <f>AM31/AL31%</f>
        <v>0</v>
      </c>
      <c r="AO31" s="65">
        <v>8542</v>
      </c>
      <c r="AP31" s="65"/>
      <c r="AQ31" s="104">
        <f>AP31/AO31%</f>
        <v>0</v>
      </c>
    </row>
    <row r="32" spans="1:43" s="105" customFormat="1" hidden="1" x14ac:dyDescent="0.25">
      <c r="A32" s="221" t="s">
        <v>57</v>
      </c>
      <c r="B32" s="65">
        <v>122500</v>
      </c>
      <c r="C32" s="65"/>
      <c r="D32" s="104">
        <f>C32/B32%</f>
        <v>0</v>
      </c>
      <c r="E32" s="65">
        <f>+B32-H32</f>
        <v>50000</v>
      </c>
      <c r="F32" s="65">
        <f>+C32-I32</f>
        <v>0</v>
      </c>
      <c r="G32" s="104">
        <f>F32/E32%</f>
        <v>0</v>
      </c>
      <c r="H32" s="65">
        <f>+K32+N32+Q32+T32+W32+Z32+AC32+AF32+AI32+AL32+AO32</f>
        <v>72500</v>
      </c>
      <c r="I32" s="65">
        <f>+L32+O32+R32+U32+X32+AA32+AD32+AG32+AJ32+AM32+AP32</f>
        <v>0</v>
      </c>
      <c r="J32" s="104">
        <f>I32/H32%</f>
        <v>0</v>
      </c>
      <c r="K32" s="65">
        <v>2500</v>
      </c>
      <c r="L32" s="65"/>
      <c r="M32" s="104">
        <f>L32/K32%</f>
        <v>0</v>
      </c>
      <c r="N32" s="65">
        <v>4000</v>
      </c>
      <c r="O32" s="65"/>
      <c r="P32" s="104">
        <f>O32/N32%</f>
        <v>0</v>
      </c>
      <c r="Q32" s="65">
        <v>3700</v>
      </c>
      <c r="R32" s="65"/>
      <c r="S32" s="104">
        <f>R32/Q32%</f>
        <v>0</v>
      </c>
      <c r="T32" s="65">
        <v>11000</v>
      </c>
      <c r="U32" s="65"/>
      <c r="V32" s="104">
        <f>U32/T32%</f>
        <v>0</v>
      </c>
      <c r="W32" s="65">
        <v>8000</v>
      </c>
      <c r="X32" s="65"/>
      <c r="Y32" s="104">
        <f>X32/W32%</f>
        <v>0</v>
      </c>
      <c r="Z32" s="65">
        <v>4500</v>
      </c>
      <c r="AA32" s="65"/>
      <c r="AB32" s="104">
        <f>AA32/Z32%</f>
        <v>0</v>
      </c>
      <c r="AC32" s="65">
        <v>13000</v>
      </c>
      <c r="AD32" s="65"/>
      <c r="AE32" s="104">
        <f>AD32/AC32%</f>
        <v>0</v>
      </c>
      <c r="AF32" s="65">
        <v>7500</v>
      </c>
      <c r="AG32" s="65"/>
      <c r="AH32" s="104">
        <f>AG32/AF32%</f>
        <v>0</v>
      </c>
      <c r="AI32" s="65">
        <v>1500</v>
      </c>
      <c r="AJ32" s="65"/>
      <c r="AK32" s="104">
        <f>AJ32/AI32%</f>
        <v>0</v>
      </c>
      <c r="AL32" s="65">
        <v>6800</v>
      </c>
      <c r="AM32" s="65"/>
      <c r="AN32" s="104">
        <f>AM32/AL32%</f>
        <v>0</v>
      </c>
      <c r="AO32" s="65">
        <v>10000</v>
      </c>
      <c r="AP32" s="65"/>
      <c r="AQ32" s="104">
        <f>AP32/AO32%</f>
        <v>0</v>
      </c>
    </row>
    <row r="33" spans="1:43" s="105" customFormat="1" ht="14.25" x14ac:dyDescent="0.2">
      <c r="A33" s="220" t="s">
        <v>32</v>
      </c>
      <c r="B33" s="62">
        <v>392029</v>
      </c>
      <c r="C33" s="62">
        <v>400000</v>
      </c>
      <c r="D33" s="104">
        <f>C33/B33%</f>
        <v>102.03326794701412</v>
      </c>
      <c r="E33" s="62">
        <f>+B33-H33</f>
        <v>114740</v>
      </c>
      <c r="F33" s="62">
        <f>+C33-I33</f>
        <v>157000</v>
      </c>
      <c r="G33" s="104">
        <f>F33/E33%</f>
        <v>136.83109639184241</v>
      </c>
      <c r="H33" s="62">
        <f>+K33+N33+Q33+T33+W33+Z33+AC33+AF33+AI33+AL33+AO33</f>
        <v>277289</v>
      </c>
      <c r="I33" s="62">
        <f>+L33+O33+R33+U33+X33+AA33+AD33+AG33+AJ33+AM33+AP33</f>
        <v>243000</v>
      </c>
      <c r="J33" s="104">
        <f>I33/H33%</f>
        <v>87.634201140326525</v>
      </c>
      <c r="K33" s="62">
        <v>17287</v>
      </c>
      <c r="L33" s="62">
        <v>16000</v>
      </c>
      <c r="M33" s="104">
        <f>L33/K33%</f>
        <v>92.555099207496966</v>
      </c>
      <c r="N33" s="62">
        <v>13429</v>
      </c>
      <c r="O33" s="62">
        <v>14000</v>
      </c>
      <c r="P33" s="104">
        <f>O33/N33%</f>
        <v>104.25199195770348</v>
      </c>
      <c r="Q33" s="62">
        <v>24484</v>
      </c>
      <c r="R33" s="62">
        <v>25000</v>
      </c>
      <c r="S33" s="104">
        <f>R33/Q33%</f>
        <v>102.10749877471001</v>
      </c>
      <c r="T33" s="62">
        <v>35482</v>
      </c>
      <c r="U33" s="62">
        <v>35000</v>
      </c>
      <c r="V33" s="104">
        <f>U33/T33%</f>
        <v>98.641564737049777</v>
      </c>
      <c r="W33" s="62">
        <v>28403</v>
      </c>
      <c r="X33" s="62">
        <v>24000</v>
      </c>
      <c r="Y33" s="104">
        <f>X33/W33%</f>
        <v>84.498116396155339</v>
      </c>
      <c r="Z33" s="62">
        <v>25397</v>
      </c>
      <c r="AA33" s="62">
        <v>23000</v>
      </c>
      <c r="AB33" s="104">
        <f>AA33/Z33%</f>
        <v>90.561877387092963</v>
      </c>
      <c r="AC33" s="62">
        <v>21345</v>
      </c>
      <c r="AD33" s="62">
        <v>15000</v>
      </c>
      <c r="AE33" s="104">
        <f>AD33/AC33%</f>
        <v>70.274068868587491</v>
      </c>
      <c r="AF33" s="62">
        <v>26992</v>
      </c>
      <c r="AG33" s="62">
        <v>22000</v>
      </c>
      <c r="AH33" s="104">
        <f>AG33/AF33%</f>
        <v>81.505631298162413</v>
      </c>
      <c r="AI33" s="62">
        <v>30252</v>
      </c>
      <c r="AJ33" s="62">
        <v>20000</v>
      </c>
      <c r="AK33" s="104">
        <f>AJ33/AI33%</f>
        <v>66.111331482216059</v>
      </c>
      <c r="AL33" s="62">
        <v>26694</v>
      </c>
      <c r="AM33" s="62">
        <v>22000</v>
      </c>
      <c r="AN33" s="104">
        <f>AM33/AL33%</f>
        <v>82.415524087809999</v>
      </c>
      <c r="AO33" s="62">
        <v>27524</v>
      </c>
      <c r="AP33" s="62">
        <v>27000</v>
      </c>
      <c r="AQ33" s="104">
        <f>AP33/AO33%</f>
        <v>98.096206946664722</v>
      </c>
    </row>
    <row r="34" spans="1:43" s="105" customFormat="1" ht="14.25" x14ac:dyDescent="0.2">
      <c r="A34" s="220" t="s">
        <v>33</v>
      </c>
      <c r="B34" s="62">
        <v>199786</v>
      </c>
      <c r="C34" s="62">
        <v>200000</v>
      </c>
      <c r="D34" s="104">
        <f>C34/B34%</f>
        <v>100.10711461263553</v>
      </c>
      <c r="E34" s="62">
        <f>+B34-H34</f>
        <v>67712</v>
      </c>
      <c r="F34" s="62">
        <f>+C34-I34</f>
        <v>16900</v>
      </c>
      <c r="G34" s="104">
        <f>F34/E34%</f>
        <v>24.958648393194707</v>
      </c>
      <c r="H34" s="62">
        <f>+K34+N34+Q34+T34+W34+Z34+AC34+AF34+AI34+AL34+AO34</f>
        <v>132074</v>
      </c>
      <c r="I34" s="62">
        <f>+L34+O34+R34+U34+X34+AA34+AD34+AG34+AJ34+AM34+AP34</f>
        <v>183100</v>
      </c>
      <c r="J34" s="104">
        <f>I34/H34%</f>
        <v>138.63440192619288</v>
      </c>
      <c r="K34" s="62">
        <v>37378</v>
      </c>
      <c r="L34" s="62">
        <v>83000</v>
      </c>
      <c r="M34" s="104">
        <f>L34/K34%</f>
        <v>222.05575472202901</v>
      </c>
      <c r="N34" s="62">
        <v>19784</v>
      </c>
      <c r="O34" s="62">
        <v>18000</v>
      </c>
      <c r="P34" s="104">
        <f>O34/N34%</f>
        <v>90.982612211888394</v>
      </c>
      <c r="Q34" s="62">
        <v>9700</v>
      </c>
      <c r="R34" s="62">
        <v>11000</v>
      </c>
      <c r="S34" s="104">
        <f>R34/Q34%</f>
        <v>113.4020618556701</v>
      </c>
      <c r="T34" s="62">
        <v>13000</v>
      </c>
      <c r="U34" s="62">
        <v>13000</v>
      </c>
      <c r="V34" s="104">
        <f>U34/T34%</f>
        <v>100</v>
      </c>
      <c r="W34" s="62">
        <v>7400</v>
      </c>
      <c r="X34" s="62">
        <v>9000</v>
      </c>
      <c r="Y34" s="104">
        <f>X34/W34%</f>
        <v>121.62162162162163</v>
      </c>
      <c r="Z34" s="62">
        <v>6980</v>
      </c>
      <c r="AA34" s="62">
        <v>9000</v>
      </c>
      <c r="AB34" s="104">
        <f>AA34/Z34%</f>
        <v>128.93982808022923</v>
      </c>
      <c r="AC34" s="62">
        <v>6432</v>
      </c>
      <c r="AD34" s="62">
        <v>9000</v>
      </c>
      <c r="AE34" s="104">
        <f>AD34/AC34%</f>
        <v>139.92537313432837</v>
      </c>
      <c r="AF34" s="62">
        <v>6000</v>
      </c>
      <c r="AG34" s="62">
        <v>12000</v>
      </c>
      <c r="AH34" s="104">
        <f>AG34/AF34%</f>
        <v>200</v>
      </c>
      <c r="AI34" s="62">
        <v>8100</v>
      </c>
      <c r="AJ34" s="62">
        <v>8100</v>
      </c>
      <c r="AK34" s="104">
        <f>AJ34/AI34%</f>
        <v>100</v>
      </c>
      <c r="AL34" s="62">
        <v>6300</v>
      </c>
      <c r="AM34" s="62">
        <v>6000</v>
      </c>
      <c r="AN34" s="104">
        <f>AM34/AL34%</f>
        <v>95.238095238095241</v>
      </c>
      <c r="AO34" s="62">
        <v>11000</v>
      </c>
      <c r="AP34" s="62">
        <v>5000</v>
      </c>
      <c r="AQ34" s="104">
        <f>AP34/AO34%</f>
        <v>45.454545454545453</v>
      </c>
    </row>
    <row r="35" spans="1:43" s="105" customFormat="1" ht="14.25" x14ac:dyDescent="0.2">
      <c r="A35" s="220" t="s">
        <v>106</v>
      </c>
      <c r="B35" s="62">
        <v>1029882</v>
      </c>
      <c r="C35" s="62">
        <v>1230000</v>
      </c>
      <c r="D35" s="104">
        <f>C35/B35%</f>
        <v>119.43115813267929</v>
      </c>
      <c r="E35" s="62">
        <f>+B35-H35</f>
        <v>0</v>
      </c>
      <c r="F35" s="62">
        <f>+C35-I35</f>
        <v>0</v>
      </c>
      <c r="G35" s="104"/>
      <c r="H35" s="62">
        <f>+K35+N35+Q35+T35+W35+Z35+AC35+AF35+AI35+AL35+AO35</f>
        <v>1029882</v>
      </c>
      <c r="I35" s="62">
        <f>+L35+O35+R35+U35+X35+AA35+AD35+AG35+AJ35+AM35+AP35</f>
        <v>1230000</v>
      </c>
      <c r="J35" s="104">
        <f>I35/H35%</f>
        <v>119.43115813267929</v>
      </c>
      <c r="K35" s="62">
        <v>88846</v>
      </c>
      <c r="L35" s="62">
        <v>95000</v>
      </c>
      <c r="M35" s="104">
        <f>L35/K35%</f>
        <v>106.92659208067893</v>
      </c>
      <c r="N35" s="62">
        <v>51751</v>
      </c>
      <c r="O35" s="62">
        <v>55000</v>
      </c>
      <c r="P35" s="104">
        <f>O35/N35%</f>
        <v>106.27813955285889</v>
      </c>
      <c r="Q35" s="62">
        <v>84675</v>
      </c>
      <c r="R35" s="62">
        <v>100000</v>
      </c>
      <c r="S35" s="104">
        <f>R35/Q35%</f>
        <v>118.09861234130499</v>
      </c>
      <c r="T35" s="62">
        <v>129606</v>
      </c>
      <c r="U35" s="62">
        <v>145000</v>
      </c>
      <c r="V35" s="104">
        <f>U35/T35%</f>
        <v>111.87753653380246</v>
      </c>
      <c r="W35" s="62">
        <v>109820</v>
      </c>
      <c r="X35" s="62">
        <v>130000</v>
      </c>
      <c r="Y35" s="104">
        <f>X35/W35%</f>
        <v>118.37552358404662</v>
      </c>
      <c r="Z35" s="62">
        <v>92214</v>
      </c>
      <c r="AA35" s="62">
        <v>100000</v>
      </c>
      <c r="AB35" s="104">
        <f>AA35/Z35%</f>
        <v>108.44340338777192</v>
      </c>
      <c r="AC35" s="62">
        <v>83869</v>
      </c>
      <c r="AD35" s="62">
        <v>110000</v>
      </c>
      <c r="AE35" s="104">
        <f>AD35/AC35%</f>
        <v>131.15692329704657</v>
      </c>
      <c r="AF35" s="62">
        <v>96975</v>
      </c>
      <c r="AG35" s="62">
        <v>120000</v>
      </c>
      <c r="AH35" s="104">
        <f>AG35/AF35%</f>
        <v>123.74323279195669</v>
      </c>
      <c r="AI35" s="62">
        <v>98929</v>
      </c>
      <c r="AJ35" s="62">
        <v>123000</v>
      </c>
      <c r="AK35" s="104">
        <f>AJ35/AI35%</f>
        <v>124.3315913432866</v>
      </c>
      <c r="AL35" s="62">
        <v>94167</v>
      </c>
      <c r="AM35" s="62">
        <v>115000</v>
      </c>
      <c r="AN35" s="104">
        <f>AM35/AL35%</f>
        <v>122.12346150987076</v>
      </c>
      <c r="AO35" s="62">
        <v>99030</v>
      </c>
      <c r="AP35" s="62">
        <v>137000</v>
      </c>
      <c r="AQ35" s="104">
        <f>AP35/AO35%</f>
        <v>138.34191659093204</v>
      </c>
    </row>
    <row r="36" spans="1:43" s="105" customFormat="1" ht="14.25" x14ac:dyDescent="0.2">
      <c r="A36" s="220" t="s">
        <v>107</v>
      </c>
      <c r="B36" s="62">
        <v>217408.6</v>
      </c>
      <c r="C36" s="62">
        <f>300830-622-7000</f>
        <v>293208</v>
      </c>
      <c r="D36" s="104">
        <f>C36/B36%</f>
        <v>134.86495014456648</v>
      </c>
      <c r="E36" s="62">
        <f>+B36-H36</f>
        <v>148618.6</v>
      </c>
      <c r="F36" s="62">
        <f>+C36-I36</f>
        <v>211303</v>
      </c>
      <c r="G36" s="104">
        <f>F36/E36%</f>
        <v>142.17803155190532</v>
      </c>
      <c r="H36" s="62">
        <f>+K36+N36+Q36+T36+W36+Z36+AC36+AF36+AI36+AL36+AO36</f>
        <v>68790</v>
      </c>
      <c r="I36" s="62">
        <f>+L36+O36+R36+U36+X36+AA36+AD36+AG36+AJ36+AM36+AP36</f>
        <v>81905</v>
      </c>
      <c r="J36" s="104">
        <f>I36/H36%</f>
        <v>119.06527111498765</v>
      </c>
      <c r="K36" s="62">
        <v>1800</v>
      </c>
      <c r="L36" s="62">
        <v>4000</v>
      </c>
      <c r="M36" s="104">
        <f>L36/K36%</f>
        <v>222.22222222222223</v>
      </c>
      <c r="N36" s="62">
        <v>3100</v>
      </c>
      <c r="O36" s="62">
        <f>3100+1235</f>
        <v>4335</v>
      </c>
      <c r="P36" s="104">
        <f>O36/N36%</f>
        <v>139.83870967741936</v>
      </c>
      <c r="Q36" s="62">
        <v>6900</v>
      </c>
      <c r="R36" s="62">
        <v>12000</v>
      </c>
      <c r="S36" s="104">
        <f>R36/Q36%</f>
        <v>173.91304347826087</v>
      </c>
      <c r="T36" s="62">
        <v>1900</v>
      </c>
      <c r="U36" s="62">
        <v>3500</v>
      </c>
      <c r="V36" s="104">
        <f>U36/T36%</f>
        <v>184.21052631578948</v>
      </c>
      <c r="W36" s="62">
        <v>6400</v>
      </c>
      <c r="X36" s="62">
        <v>9000</v>
      </c>
      <c r="Y36" s="104">
        <f>X36/W36%</f>
        <v>140.625</v>
      </c>
      <c r="Z36" s="62">
        <v>10900</v>
      </c>
      <c r="AA36" s="62">
        <v>10000</v>
      </c>
      <c r="AB36" s="104">
        <f>AA36/Z36%</f>
        <v>91.743119266055047</v>
      </c>
      <c r="AC36" s="62">
        <v>11450</v>
      </c>
      <c r="AD36" s="62">
        <v>8170</v>
      </c>
      <c r="AE36" s="104">
        <f>AD36/AC36%</f>
        <v>71.353711790393007</v>
      </c>
      <c r="AF36" s="62">
        <v>6600</v>
      </c>
      <c r="AG36" s="62">
        <v>6300</v>
      </c>
      <c r="AH36" s="104">
        <f>AG36/AF36%</f>
        <v>95.454545454545453</v>
      </c>
      <c r="AI36" s="62">
        <v>3100</v>
      </c>
      <c r="AJ36" s="62">
        <v>3100</v>
      </c>
      <c r="AK36" s="104">
        <f>AJ36/AI36%</f>
        <v>100</v>
      </c>
      <c r="AL36" s="62">
        <v>10000</v>
      </c>
      <c r="AM36" s="62">
        <v>8500</v>
      </c>
      <c r="AN36" s="104">
        <f>AM36/AL36%</f>
        <v>85</v>
      </c>
      <c r="AO36" s="62">
        <v>6640</v>
      </c>
      <c r="AP36" s="62">
        <v>13000</v>
      </c>
      <c r="AQ36" s="104">
        <f>AP36/AO36%</f>
        <v>195.78313253012047</v>
      </c>
    </row>
    <row r="37" spans="1:43" s="105" customFormat="1" ht="14.25" x14ac:dyDescent="0.2">
      <c r="A37" s="220" t="s">
        <v>108</v>
      </c>
      <c r="B37" s="62">
        <v>1170</v>
      </c>
      <c r="C37" s="62">
        <f>1170+20000</f>
        <v>21170</v>
      </c>
      <c r="D37" s="104">
        <f>C37/B37%</f>
        <v>1809.4017094017095</v>
      </c>
      <c r="E37" s="62">
        <f>+B37-H37</f>
        <v>1170</v>
      </c>
      <c r="F37" s="62">
        <f>+C37-I37</f>
        <v>21170</v>
      </c>
      <c r="G37" s="104">
        <f>F37/E37%</f>
        <v>1809.4017094017095</v>
      </c>
      <c r="H37" s="62">
        <f>+K37+N37+Q37+T37+W37+Z37+AC37+AF37+AI37+AL37+AO37</f>
        <v>0</v>
      </c>
      <c r="I37" s="62">
        <f>+L37+O37+R37+U37+X37+AA37+AD37+AG37+AJ37+AM37+AP37</f>
        <v>0</v>
      </c>
      <c r="J37" s="104"/>
      <c r="K37" s="62">
        <v>0</v>
      </c>
      <c r="L37" s="62"/>
      <c r="M37" s="104"/>
      <c r="N37" s="62">
        <v>0</v>
      </c>
      <c r="O37" s="62"/>
      <c r="P37" s="104"/>
      <c r="Q37" s="62">
        <v>0</v>
      </c>
      <c r="R37" s="62"/>
      <c r="S37" s="104"/>
      <c r="T37" s="62">
        <v>0</v>
      </c>
      <c r="U37" s="62"/>
      <c r="V37" s="104"/>
      <c r="W37" s="62">
        <v>0</v>
      </c>
      <c r="X37" s="62"/>
      <c r="Y37" s="104"/>
      <c r="Z37" s="62">
        <v>0</v>
      </c>
      <c r="AA37" s="62"/>
      <c r="AB37" s="104"/>
      <c r="AC37" s="62">
        <v>0</v>
      </c>
      <c r="AD37" s="62"/>
      <c r="AE37" s="104"/>
      <c r="AF37" s="62">
        <v>0</v>
      </c>
      <c r="AG37" s="62"/>
      <c r="AH37" s="104"/>
      <c r="AI37" s="62">
        <v>0</v>
      </c>
      <c r="AJ37" s="62"/>
      <c r="AK37" s="104"/>
      <c r="AL37" s="62">
        <v>0</v>
      </c>
      <c r="AM37" s="62"/>
      <c r="AN37" s="104"/>
      <c r="AO37" s="62">
        <v>0</v>
      </c>
      <c r="AP37" s="62"/>
      <c r="AQ37" s="104"/>
    </row>
    <row r="38" spans="1:43" s="105" customFormat="1" ht="14.25" x14ac:dyDescent="0.2">
      <c r="A38" s="222" t="s">
        <v>34</v>
      </c>
      <c r="B38" s="62">
        <v>289204</v>
      </c>
      <c r="C38" s="62"/>
      <c r="D38" s="104">
        <f>C38/B38%</f>
        <v>0</v>
      </c>
      <c r="E38" s="62">
        <f>+B38-H38</f>
        <v>133738</v>
      </c>
      <c r="F38" s="62">
        <f>+C38-I38</f>
        <v>0</v>
      </c>
      <c r="G38" s="104">
        <f>F38/E38%</f>
        <v>0</v>
      </c>
      <c r="H38" s="62">
        <f>+K38+N38+Q38+T38+W38+Z38+AC38+AF38+AI38+AL38+AO38</f>
        <v>155466</v>
      </c>
      <c r="I38" s="62">
        <f>+L38+O38+R38+U38+X38+AA38+AD38+AG38+AJ38+AM38+AP38</f>
        <v>0</v>
      </c>
      <c r="J38" s="104"/>
      <c r="K38" s="62">
        <v>18171</v>
      </c>
      <c r="L38" s="62"/>
      <c r="M38" s="104"/>
      <c r="N38" s="62">
        <v>9478</v>
      </c>
      <c r="O38" s="62"/>
      <c r="P38" s="104"/>
      <c r="Q38" s="62">
        <v>12423</v>
      </c>
      <c r="R38" s="62"/>
      <c r="S38" s="104"/>
      <c r="T38" s="62">
        <v>19655</v>
      </c>
      <c r="U38" s="62"/>
      <c r="V38" s="104"/>
      <c r="W38" s="62">
        <v>15166</v>
      </c>
      <c r="X38" s="62"/>
      <c r="Y38" s="104"/>
      <c r="Z38" s="62">
        <v>14258</v>
      </c>
      <c r="AA38" s="62"/>
      <c r="AB38" s="104"/>
      <c r="AC38" s="62">
        <v>13322</v>
      </c>
      <c r="AD38" s="62"/>
      <c r="AE38" s="104"/>
      <c r="AF38" s="62">
        <v>14192</v>
      </c>
      <c r="AG38" s="62"/>
      <c r="AH38" s="104"/>
      <c r="AI38" s="62">
        <v>13482</v>
      </c>
      <c r="AJ38" s="62"/>
      <c r="AK38" s="104"/>
      <c r="AL38" s="62">
        <v>12597</v>
      </c>
      <c r="AM38" s="62"/>
      <c r="AN38" s="104"/>
      <c r="AO38" s="62">
        <v>12722</v>
      </c>
      <c r="AP38" s="62"/>
      <c r="AQ38" s="104"/>
    </row>
    <row r="39" spans="1:43" s="105" customFormat="1" ht="14.25" x14ac:dyDescent="0.2">
      <c r="A39" s="223" t="s">
        <v>59</v>
      </c>
      <c r="B39" s="224">
        <v>4204894</v>
      </c>
      <c r="C39" s="224">
        <v>3725496</v>
      </c>
      <c r="D39" s="213">
        <v>88.599046729834328</v>
      </c>
      <c r="E39" s="224">
        <v>4202742</v>
      </c>
      <c r="F39" s="224">
        <v>3642196</v>
      </c>
      <c r="G39" s="213">
        <v>86.662374230918772</v>
      </c>
      <c r="H39" s="224">
        <v>2152</v>
      </c>
      <c r="I39" s="224">
        <v>83300</v>
      </c>
      <c r="J39" s="213">
        <v>3870.8178438661712</v>
      </c>
      <c r="K39" s="224">
        <v>231</v>
      </c>
      <c r="L39" s="224">
        <v>1000</v>
      </c>
      <c r="M39" s="213">
        <v>432.90043290043292</v>
      </c>
      <c r="N39" s="224">
        <v>231</v>
      </c>
      <c r="O39" s="224">
        <v>1000</v>
      </c>
      <c r="P39" s="213">
        <v>432.90043290043292</v>
      </c>
      <c r="Q39" s="224">
        <v>207</v>
      </c>
      <c r="R39" s="224">
        <v>7000</v>
      </c>
      <c r="S39" s="213">
        <v>3381.6425120772951</v>
      </c>
      <c r="T39" s="224">
        <v>231</v>
      </c>
      <c r="U39" s="224">
        <v>2500</v>
      </c>
      <c r="V39" s="213">
        <v>1082.2510822510822</v>
      </c>
      <c r="W39" s="224">
        <v>163</v>
      </c>
      <c r="X39" s="224">
        <v>5000</v>
      </c>
      <c r="Y39" s="213">
        <v>3067.4846625766872</v>
      </c>
      <c r="Z39" s="224">
        <v>231</v>
      </c>
      <c r="AA39" s="224">
        <v>1800</v>
      </c>
      <c r="AB39" s="213">
        <v>779.22077922077915</v>
      </c>
      <c r="AC39" s="224">
        <v>231</v>
      </c>
      <c r="AD39" s="224">
        <v>3000</v>
      </c>
      <c r="AE39" s="213">
        <v>1298.7012987012986</v>
      </c>
      <c r="AF39" s="224">
        <v>163</v>
      </c>
      <c r="AG39" s="224">
        <v>9000</v>
      </c>
      <c r="AH39" s="213">
        <v>5521.4723926380375</v>
      </c>
      <c r="AI39" s="224">
        <v>139</v>
      </c>
      <c r="AJ39" s="224">
        <v>38000</v>
      </c>
      <c r="AK39" s="213">
        <v>27338.129496402878</v>
      </c>
      <c r="AL39" s="224">
        <v>118</v>
      </c>
      <c r="AM39" s="224">
        <v>11000</v>
      </c>
      <c r="AN39" s="213">
        <v>9322.033898305086</v>
      </c>
      <c r="AO39" s="224">
        <v>207</v>
      </c>
      <c r="AP39" s="224">
        <v>4000</v>
      </c>
      <c r="AQ39" s="213">
        <v>1932.3671497584542</v>
      </c>
    </row>
    <row r="40" spans="1:43" x14ac:dyDescent="0.25">
      <c r="F40" s="199"/>
    </row>
  </sheetData>
  <mergeCells count="18">
    <mergeCell ref="AI5:AK5"/>
    <mergeCell ref="AL5:AN5"/>
    <mergeCell ref="AO5:AQ5"/>
    <mergeCell ref="Q5:S5"/>
    <mergeCell ref="T5:V5"/>
    <mergeCell ref="W5:Y5"/>
    <mergeCell ref="Z5:AB5"/>
    <mergeCell ref="AC5:AE5"/>
    <mergeCell ref="AF5:AH5"/>
    <mergeCell ref="A1:P1"/>
    <mergeCell ref="A5:A6"/>
    <mergeCell ref="B5:D5"/>
    <mergeCell ref="E5:G5"/>
    <mergeCell ref="H5:J5"/>
    <mergeCell ref="K5:M5"/>
    <mergeCell ref="N5:P5"/>
    <mergeCell ref="A2:M2"/>
    <mergeCell ref="K4:M4"/>
  </mergeCells>
  <pageMargins left="0.24" right="0.16" top="0.75" bottom="0.75" header="0.3" footer="0.3"/>
  <pageSetup paperSize="9" scale="76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thu 2023</vt:lpstr>
      <vt:lpstr>chi 2023</vt:lpstr>
      <vt:lpstr>thu ĐB</vt:lpstr>
      <vt:lpstr>chi ĐB</vt:lpstr>
      <vt:lpstr>'chi 2023'!Print_Titles</vt:lpstr>
      <vt:lpstr>'chi ĐB'!Print_Titles</vt:lpstr>
      <vt:lpstr>'thu ĐB'!Print_Titles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2024-01-02T01:45:13Z</dcterms:modified>
</cp:coreProperties>
</file>