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5480" windowHeight="7860" activeTab="3"/>
  </bookViews>
  <sheets>
    <sheet name="thu " sheetId="39" r:id="rId1"/>
    <sheet name="chi" sheetId="41" r:id="rId2"/>
    <sheet name="thu ĐB" sheetId="42" r:id="rId3"/>
    <sheet name="chi ĐB" sheetId="43" r:id="rId4"/>
  </sheets>
  <definedNames>
    <definedName name="_xlnm.Print_Titles" localSheetId="1">chi!$5:$7</definedName>
    <definedName name="_xlnm.Print_Titles" localSheetId="3">'chi ĐB'!$A:$A,'chi ĐB'!$5:$6</definedName>
    <definedName name="_xlnm.Print_Titles" localSheetId="2">'thu ĐB'!$A:$A,'thu ĐB'!$5:$6</definedName>
  </definedNames>
  <calcPr calcId="152511"/>
</workbook>
</file>

<file path=xl/calcChain.xml><?xml version="1.0" encoding="utf-8"?>
<calcChain xmlns="http://schemas.openxmlformats.org/spreadsheetml/2006/main">
  <c r="B41" i="42" l="1"/>
  <c r="R9" i="43" l="1"/>
  <c r="L9" i="43"/>
  <c r="AP9" i="43"/>
  <c r="AM9" i="43"/>
  <c r="AJ9" i="43"/>
  <c r="AD9" i="43"/>
  <c r="X9" i="43"/>
  <c r="U9" i="43"/>
  <c r="AP28" i="43"/>
  <c r="AP35" i="43"/>
  <c r="AM28" i="43"/>
  <c r="AG36" i="43"/>
  <c r="AG16" i="43"/>
  <c r="AG18" i="43" s="1"/>
  <c r="AG34" i="43"/>
  <c r="AG23" i="43"/>
  <c r="AG20" i="43"/>
  <c r="AD18" i="43"/>
  <c r="AA16" i="43"/>
  <c r="AA18" i="43" s="1"/>
  <c r="AA35" i="43"/>
  <c r="X28" i="43"/>
  <c r="X26" i="43"/>
  <c r="X35" i="43"/>
  <c r="U16" i="43"/>
  <c r="U18" i="43" s="1"/>
  <c r="R18" i="43"/>
  <c r="R35" i="43"/>
  <c r="O35" i="43"/>
  <c r="C35" i="43"/>
  <c r="C36" i="43"/>
  <c r="C26" i="43"/>
  <c r="C28" i="43"/>
  <c r="C16" i="43"/>
  <c r="C34" i="43"/>
  <c r="C23" i="43"/>
  <c r="C20" i="43"/>
  <c r="C32" i="41"/>
  <c r="C31" i="41"/>
  <c r="C25" i="41"/>
  <c r="C23" i="41"/>
  <c r="C20" i="41"/>
  <c r="C17" i="41"/>
  <c r="C13" i="41"/>
  <c r="C15" i="41" s="1"/>
  <c r="C49" i="41" l="1"/>
  <c r="AP33" i="43" l="1"/>
  <c r="AP18" i="43"/>
  <c r="AM33" i="43"/>
  <c r="AM18" i="43"/>
  <c r="AJ33" i="43"/>
  <c r="AJ18" i="43"/>
  <c r="AD33" i="43"/>
  <c r="AA33" i="43"/>
  <c r="X18" i="43"/>
  <c r="U33" i="43"/>
  <c r="R33" i="43"/>
  <c r="O33" i="43"/>
  <c r="L33" i="43"/>
  <c r="AG9" i="43"/>
  <c r="AA9" i="43"/>
  <c r="O9" i="43"/>
  <c r="C33" i="43" l="1"/>
  <c r="C25" i="43"/>
  <c r="C24" i="43"/>
  <c r="C17" i="43"/>
  <c r="C18" i="43" s="1"/>
  <c r="AP45" i="42"/>
  <c r="AP44" i="42" s="1"/>
  <c r="AM45" i="42"/>
  <c r="AM44" i="42" s="1"/>
  <c r="AJ45" i="42"/>
  <c r="AJ44" i="42" s="1"/>
  <c r="AG32" i="42"/>
  <c r="AD45" i="42"/>
  <c r="AD44" i="42" s="1"/>
  <c r="AA45" i="42"/>
  <c r="AA44" i="42" s="1"/>
  <c r="AA32" i="42"/>
  <c r="X45" i="42"/>
  <c r="X44" i="42" s="1"/>
  <c r="U45" i="42"/>
  <c r="U44" i="42" s="1"/>
  <c r="R45" i="42"/>
  <c r="R44" i="42" s="1"/>
  <c r="R32" i="42"/>
  <c r="M45" i="42"/>
  <c r="O45" i="42"/>
  <c r="O44" i="42" s="1"/>
  <c r="O32" i="42"/>
  <c r="C30" i="41" l="1"/>
  <c r="D33" i="39" l="1"/>
  <c r="H8" i="42" l="1"/>
  <c r="I8" i="42"/>
  <c r="H11" i="42"/>
  <c r="E11" i="42" s="1"/>
  <c r="I11" i="42"/>
  <c r="F11" i="42" s="1"/>
  <c r="H12" i="42"/>
  <c r="E12" i="42" s="1"/>
  <c r="I12" i="42"/>
  <c r="F12" i="42" s="1"/>
  <c r="H13" i="42"/>
  <c r="E13" i="42" s="1"/>
  <c r="I13" i="42"/>
  <c r="F13" i="42" s="1"/>
  <c r="H14" i="42"/>
  <c r="I14" i="42"/>
  <c r="F14" i="42" s="1"/>
  <c r="H15" i="42"/>
  <c r="E15" i="42" s="1"/>
  <c r="I15" i="42"/>
  <c r="F15" i="42" s="1"/>
  <c r="H16" i="42"/>
  <c r="I16" i="42"/>
  <c r="F16" i="42" s="1"/>
  <c r="H17" i="42"/>
  <c r="E17" i="42" s="1"/>
  <c r="I17" i="42"/>
  <c r="F17" i="42" s="1"/>
  <c r="H18" i="42"/>
  <c r="E18" i="42" s="1"/>
  <c r="I18" i="42"/>
  <c r="H19" i="42"/>
  <c r="E19" i="42" s="1"/>
  <c r="I19" i="42"/>
  <c r="F19" i="42" s="1"/>
  <c r="H21" i="42"/>
  <c r="E21" i="42" s="1"/>
  <c r="I21" i="42"/>
  <c r="F21" i="42" s="1"/>
  <c r="H22" i="42"/>
  <c r="E22" i="42" s="1"/>
  <c r="I22" i="42"/>
  <c r="F22" i="42" s="1"/>
  <c r="H23" i="42"/>
  <c r="E23" i="42" s="1"/>
  <c r="I23" i="42"/>
  <c r="F23" i="42" s="1"/>
  <c r="H24" i="42"/>
  <c r="E24" i="42" s="1"/>
  <c r="I24" i="42"/>
  <c r="F24" i="42" s="1"/>
  <c r="H26" i="42"/>
  <c r="I26" i="42"/>
  <c r="F26" i="42" s="1"/>
  <c r="H27" i="42"/>
  <c r="E27" i="42" s="1"/>
  <c r="I27" i="42"/>
  <c r="F27" i="42" s="1"/>
  <c r="H28" i="42"/>
  <c r="E28" i="42" s="1"/>
  <c r="I28" i="42"/>
  <c r="H29" i="42"/>
  <c r="E29" i="42" s="1"/>
  <c r="I29" i="42"/>
  <c r="F29" i="42" s="1"/>
  <c r="H31" i="42"/>
  <c r="I31" i="42"/>
  <c r="F31" i="42" s="1"/>
  <c r="H32" i="42"/>
  <c r="E32" i="42" s="1"/>
  <c r="I32" i="42"/>
  <c r="F32" i="42" s="1"/>
  <c r="H33" i="42"/>
  <c r="E33" i="42" s="1"/>
  <c r="I33" i="42"/>
  <c r="F33" i="42" s="1"/>
  <c r="H34" i="42"/>
  <c r="E34" i="42" s="1"/>
  <c r="I34" i="42"/>
  <c r="F34" i="42" s="1"/>
  <c r="H35" i="42"/>
  <c r="E35" i="42" s="1"/>
  <c r="I35" i="42"/>
  <c r="F35" i="42" s="1"/>
  <c r="H36" i="42"/>
  <c r="E36" i="42" s="1"/>
  <c r="I36" i="42"/>
  <c r="F36" i="42" s="1"/>
  <c r="H42" i="42"/>
  <c r="E42" i="42" s="1"/>
  <c r="I42" i="42"/>
  <c r="F42" i="42" s="1"/>
  <c r="H43" i="42"/>
  <c r="I43" i="42"/>
  <c r="F43" i="42" s="1"/>
  <c r="H44" i="42"/>
  <c r="E44" i="42" s="1"/>
  <c r="I44" i="42"/>
  <c r="F44" i="42" s="1"/>
  <c r="H45" i="42"/>
  <c r="E45" i="42" s="1"/>
  <c r="I45" i="42"/>
  <c r="F45" i="42" s="1"/>
  <c r="H46" i="42"/>
  <c r="I46" i="42"/>
  <c r="F46" i="42" s="1"/>
  <c r="H47" i="42"/>
  <c r="E47" i="42" s="1"/>
  <c r="I47" i="42"/>
  <c r="F47" i="42" s="1"/>
  <c r="H48" i="42"/>
  <c r="E48" i="42" s="1"/>
  <c r="I48" i="42"/>
  <c r="F48" i="42" s="1"/>
  <c r="E8" i="42"/>
  <c r="F8" i="42"/>
  <c r="E14" i="42"/>
  <c r="E16" i="42"/>
  <c r="F18" i="42"/>
  <c r="E26" i="42"/>
  <c r="F28" i="42"/>
  <c r="E31" i="42"/>
  <c r="E43" i="42"/>
  <c r="E46" i="42"/>
  <c r="I9" i="43"/>
  <c r="H10" i="43"/>
  <c r="E10" i="43" s="1"/>
  <c r="I10" i="43"/>
  <c r="F10" i="43" s="1"/>
  <c r="H11" i="43"/>
  <c r="E11" i="43" s="1"/>
  <c r="I11" i="43"/>
  <c r="F11" i="43" s="1"/>
  <c r="H12" i="43"/>
  <c r="E12" i="43" s="1"/>
  <c r="I12" i="43"/>
  <c r="F12" i="43" s="1"/>
  <c r="H13" i="43"/>
  <c r="E13" i="43" s="1"/>
  <c r="I13" i="43"/>
  <c r="H16" i="43"/>
  <c r="I16" i="43"/>
  <c r="F16" i="43" s="1"/>
  <c r="H17" i="43"/>
  <c r="E17" i="43" s="1"/>
  <c r="I17" i="43"/>
  <c r="F17" i="43" s="1"/>
  <c r="H20" i="43"/>
  <c r="E20" i="43" s="1"/>
  <c r="I20" i="43"/>
  <c r="F20" i="43" s="1"/>
  <c r="H21" i="43"/>
  <c r="E21" i="43" s="1"/>
  <c r="I21" i="43"/>
  <c r="H22" i="43"/>
  <c r="E22" i="43" s="1"/>
  <c r="I22" i="43"/>
  <c r="F22" i="43" s="1"/>
  <c r="H23" i="43"/>
  <c r="E23" i="43" s="1"/>
  <c r="I23" i="43"/>
  <c r="F23" i="43" s="1"/>
  <c r="H24" i="43"/>
  <c r="E24" i="43" s="1"/>
  <c r="I24" i="43"/>
  <c r="F24" i="43" s="1"/>
  <c r="H25" i="43"/>
  <c r="E25" i="43" s="1"/>
  <c r="I25" i="43"/>
  <c r="F25" i="43" s="1"/>
  <c r="H26" i="43"/>
  <c r="E26" i="43" s="1"/>
  <c r="I26" i="43"/>
  <c r="F26" i="43" s="1"/>
  <c r="H27" i="43"/>
  <c r="E27" i="43" s="1"/>
  <c r="I27" i="43"/>
  <c r="F27" i="43" s="1"/>
  <c r="I28" i="43"/>
  <c r="F28" i="43" s="1"/>
  <c r="H29" i="43"/>
  <c r="E29" i="43" s="1"/>
  <c r="I29" i="43"/>
  <c r="F29" i="43" s="1"/>
  <c r="H30" i="43"/>
  <c r="E30" i="43" s="1"/>
  <c r="I30" i="43"/>
  <c r="F30" i="43" s="1"/>
  <c r="H31" i="43"/>
  <c r="E31" i="43" s="1"/>
  <c r="I31" i="43"/>
  <c r="F31" i="43" s="1"/>
  <c r="H32" i="43"/>
  <c r="E32" i="43" s="1"/>
  <c r="I32" i="43"/>
  <c r="F32" i="43" s="1"/>
  <c r="H33" i="43"/>
  <c r="E33" i="43" s="1"/>
  <c r="I33" i="43"/>
  <c r="F33" i="43" s="1"/>
  <c r="H34" i="43"/>
  <c r="E34" i="43" s="1"/>
  <c r="I34" i="43"/>
  <c r="F34" i="43" s="1"/>
  <c r="H35" i="43"/>
  <c r="E35" i="43" s="1"/>
  <c r="I35" i="43"/>
  <c r="F35" i="43" s="1"/>
  <c r="H36" i="43"/>
  <c r="I36" i="43"/>
  <c r="F36" i="43" s="1"/>
  <c r="H37" i="43"/>
  <c r="E37" i="43" s="1"/>
  <c r="I37" i="43"/>
  <c r="F37" i="43" s="1"/>
  <c r="H38" i="43"/>
  <c r="E38" i="43" s="1"/>
  <c r="I38" i="43"/>
  <c r="F38" i="43" s="1"/>
  <c r="H39" i="43"/>
  <c r="E39" i="43" s="1"/>
  <c r="I39" i="43"/>
  <c r="F39" i="43" s="1"/>
  <c r="H40" i="43"/>
  <c r="E40" i="43" s="1"/>
  <c r="I40" i="43"/>
  <c r="F40" i="43" s="1"/>
  <c r="H42" i="43"/>
  <c r="E42" i="43" s="1"/>
  <c r="I42" i="43"/>
  <c r="F42" i="43" s="1"/>
  <c r="H43" i="43"/>
  <c r="E43" i="43" s="1"/>
  <c r="I43" i="43"/>
  <c r="F43" i="43" s="1"/>
  <c r="H44" i="43"/>
  <c r="E44" i="43" s="1"/>
  <c r="I44" i="43"/>
  <c r="F44" i="43" s="1"/>
  <c r="H45" i="43"/>
  <c r="E45" i="43" s="1"/>
  <c r="I45" i="43"/>
  <c r="F45" i="43" s="1"/>
  <c r="H46" i="43"/>
  <c r="E46" i="43" s="1"/>
  <c r="H47" i="43"/>
  <c r="E47" i="43" s="1"/>
  <c r="I47" i="43"/>
  <c r="F47" i="43" s="1"/>
  <c r="H48" i="43"/>
  <c r="E48" i="43" s="1"/>
  <c r="I48" i="43"/>
  <c r="F48" i="43" s="1"/>
  <c r="F13" i="43"/>
  <c r="F21" i="43"/>
  <c r="F9" i="43" l="1"/>
  <c r="I18" i="43" l="1"/>
  <c r="F18" i="43" l="1"/>
  <c r="AO30" i="42" l="1"/>
  <c r="AO25" i="42"/>
  <c r="AO20" i="42"/>
  <c r="AL30" i="42"/>
  <c r="AL25" i="42"/>
  <c r="AL20" i="42"/>
  <c r="AI30" i="42"/>
  <c r="AI25" i="42"/>
  <c r="AI20" i="42"/>
  <c r="AF30" i="42"/>
  <c r="AF25" i="42"/>
  <c r="AF20" i="42"/>
  <c r="AC30" i="42"/>
  <c r="AC25" i="42"/>
  <c r="AC20" i="42"/>
  <c r="Z30" i="42"/>
  <c r="Z25" i="42"/>
  <c r="Z20" i="42"/>
  <c r="W30" i="42"/>
  <c r="W25" i="42"/>
  <c r="W20" i="42"/>
  <c r="T30" i="42"/>
  <c r="T25" i="42"/>
  <c r="T20" i="42"/>
  <c r="Q30" i="42"/>
  <c r="Q25" i="42"/>
  <c r="Q20" i="42"/>
  <c r="N30" i="42"/>
  <c r="N25" i="42"/>
  <c r="N20" i="42"/>
  <c r="K30" i="42"/>
  <c r="K25" i="42"/>
  <c r="K20" i="42"/>
  <c r="H30" i="42" l="1"/>
  <c r="H20" i="42"/>
  <c r="H25" i="42"/>
  <c r="AN19" i="42"/>
  <c r="AN18" i="42"/>
  <c r="D48" i="43" l="1"/>
  <c r="D47" i="43"/>
  <c r="AP46" i="43"/>
  <c r="AP41" i="43" s="1"/>
  <c r="AM46" i="43"/>
  <c r="AM41" i="43" s="1"/>
  <c r="AJ46" i="43"/>
  <c r="AJ41" i="43" s="1"/>
  <c r="AG46" i="43"/>
  <c r="AG41" i="43" s="1"/>
  <c r="AD46" i="43"/>
  <c r="AD41" i="43" s="1"/>
  <c r="AA46" i="43"/>
  <c r="AA41" i="43" s="1"/>
  <c r="X46" i="43"/>
  <c r="X41" i="43" s="1"/>
  <c r="U46" i="43"/>
  <c r="U41" i="43" s="1"/>
  <c r="R46" i="43"/>
  <c r="R41" i="43" s="1"/>
  <c r="O46" i="43"/>
  <c r="O41" i="43" s="1"/>
  <c r="L46" i="43"/>
  <c r="L41" i="43" s="1"/>
  <c r="C46" i="43"/>
  <c r="AQ45" i="43"/>
  <c r="AN45" i="43"/>
  <c r="AK45" i="43"/>
  <c r="AH45" i="43"/>
  <c r="AE45" i="43"/>
  <c r="AB45" i="43"/>
  <c r="Y45" i="43"/>
  <c r="V45" i="43"/>
  <c r="S45" i="43"/>
  <c r="P45" i="43"/>
  <c r="M45" i="43"/>
  <c r="D45" i="43"/>
  <c r="AQ44" i="43"/>
  <c r="AN44" i="43"/>
  <c r="AK44" i="43"/>
  <c r="AH44" i="43"/>
  <c r="AE44" i="43"/>
  <c r="AB44" i="43"/>
  <c r="Y44" i="43"/>
  <c r="V44" i="43"/>
  <c r="S44" i="43"/>
  <c r="P44" i="43"/>
  <c r="M44" i="43"/>
  <c r="D44" i="43"/>
  <c r="D43" i="43"/>
  <c r="D42" i="43"/>
  <c r="AO41" i="43"/>
  <c r="AL41" i="43"/>
  <c r="AI41" i="43"/>
  <c r="AF41" i="43"/>
  <c r="AC41" i="43"/>
  <c r="Z41" i="43"/>
  <c r="W41" i="43"/>
  <c r="T41" i="43"/>
  <c r="Q41" i="43"/>
  <c r="N41" i="43"/>
  <c r="K41" i="43"/>
  <c r="B41" i="43"/>
  <c r="D40" i="43"/>
  <c r="D39" i="43"/>
  <c r="D38" i="43"/>
  <c r="D37" i="43"/>
  <c r="AQ36" i="43"/>
  <c r="AN36" i="43"/>
  <c r="AK36" i="43"/>
  <c r="AH36" i="43"/>
  <c r="AE36" i="43"/>
  <c r="AB36" i="43"/>
  <c r="Y36" i="43"/>
  <c r="V36" i="43"/>
  <c r="S36" i="43"/>
  <c r="P36" i="43"/>
  <c r="M36" i="43"/>
  <c r="B36" i="43"/>
  <c r="E36" i="43" s="1"/>
  <c r="AN35" i="43"/>
  <c r="AK35" i="43"/>
  <c r="AH35" i="43"/>
  <c r="AE35" i="43"/>
  <c r="AB35" i="43"/>
  <c r="Y35" i="43"/>
  <c r="V35" i="43"/>
  <c r="S35" i="43"/>
  <c r="P35" i="43"/>
  <c r="M35" i="43"/>
  <c r="D35" i="43"/>
  <c r="AQ34" i="43"/>
  <c r="AN34" i="43"/>
  <c r="AK34" i="43"/>
  <c r="AH34" i="43"/>
  <c r="AE34" i="43"/>
  <c r="AB34" i="43"/>
  <c r="Y34" i="43"/>
  <c r="V34" i="43"/>
  <c r="S34" i="43"/>
  <c r="P34" i="43"/>
  <c r="M34" i="43"/>
  <c r="D34" i="43"/>
  <c r="AQ33" i="43"/>
  <c r="AN33" i="43"/>
  <c r="AK33" i="43"/>
  <c r="AH33" i="43"/>
  <c r="AE33" i="43"/>
  <c r="AB33" i="43"/>
  <c r="Y33" i="43"/>
  <c r="V33" i="43"/>
  <c r="S33" i="43"/>
  <c r="P33" i="43"/>
  <c r="M33" i="43"/>
  <c r="D33" i="43"/>
  <c r="AQ32" i="43"/>
  <c r="AN32" i="43"/>
  <c r="AK32" i="43"/>
  <c r="AH32" i="43"/>
  <c r="AE32" i="43"/>
  <c r="AB32" i="43"/>
  <c r="Y32" i="43"/>
  <c r="V32" i="43"/>
  <c r="S32" i="43"/>
  <c r="P32" i="43"/>
  <c r="M32" i="43"/>
  <c r="D32" i="43"/>
  <c r="AQ31" i="43"/>
  <c r="AN31" i="43"/>
  <c r="AK31" i="43"/>
  <c r="AH31" i="43"/>
  <c r="AE31" i="43"/>
  <c r="AB31" i="43"/>
  <c r="Y31" i="43"/>
  <c r="V31" i="43"/>
  <c r="S31" i="43"/>
  <c r="P31" i="43"/>
  <c r="M31" i="43"/>
  <c r="AQ30" i="43"/>
  <c r="AN30" i="43"/>
  <c r="AK30" i="43"/>
  <c r="AH30" i="43"/>
  <c r="AE30" i="43"/>
  <c r="AB30" i="43"/>
  <c r="Y30" i="43"/>
  <c r="V30" i="43"/>
  <c r="S30" i="43"/>
  <c r="P30" i="43"/>
  <c r="M30" i="43"/>
  <c r="D30" i="43"/>
  <c r="AQ29" i="43"/>
  <c r="AN29" i="43"/>
  <c r="AK29" i="43"/>
  <c r="AH29" i="43"/>
  <c r="AE29" i="43"/>
  <c r="AB29" i="43"/>
  <c r="Y29" i="43"/>
  <c r="V29" i="43"/>
  <c r="S29" i="43"/>
  <c r="P29" i="43"/>
  <c r="M29" i="43"/>
  <c r="D29" i="43"/>
  <c r="AO28" i="43"/>
  <c r="AL28" i="43"/>
  <c r="AI28" i="43"/>
  <c r="AK28" i="43" s="1"/>
  <c r="AF28" i="43"/>
  <c r="AH28" i="43" s="1"/>
  <c r="AC28" i="43"/>
  <c r="AE28" i="43" s="1"/>
  <c r="Z28" i="43"/>
  <c r="AB28" i="43" s="1"/>
  <c r="W28" i="43"/>
  <c r="T28" i="43"/>
  <c r="V28" i="43" s="1"/>
  <c r="Q28" i="43"/>
  <c r="N28" i="43"/>
  <c r="P28" i="43" s="1"/>
  <c r="K28" i="43"/>
  <c r="B28" i="43"/>
  <c r="D28" i="43" s="1"/>
  <c r="AQ27" i="43"/>
  <c r="AN27" i="43"/>
  <c r="AK27" i="43"/>
  <c r="AH27" i="43"/>
  <c r="AE27" i="43"/>
  <c r="AB27" i="43"/>
  <c r="Y27" i="43"/>
  <c r="V27" i="43"/>
  <c r="S27" i="43"/>
  <c r="P27" i="43"/>
  <c r="M27" i="43"/>
  <c r="D27" i="43"/>
  <c r="AQ26" i="43"/>
  <c r="AN26" i="43"/>
  <c r="AK26" i="43"/>
  <c r="AH26" i="43"/>
  <c r="AE26" i="43"/>
  <c r="AB26" i="43"/>
  <c r="Y26" i="43"/>
  <c r="V26" i="43"/>
  <c r="S26" i="43"/>
  <c r="P26" i="43"/>
  <c r="M26" i="43"/>
  <c r="D26" i="43"/>
  <c r="AQ25" i="43"/>
  <c r="AN25" i="43"/>
  <c r="AK25" i="43"/>
  <c r="AH25" i="43"/>
  <c r="AE25" i="43"/>
  <c r="AB25" i="43"/>
  <c r="Y25" i="43"/>
  <c r="V25" i="43"/>
  <c r="S25" i="43"/>
  <c r="P25" i="43"/>
  <c r="M25" i="43"/>
  <c r="AQ24" i="43"/>
  <c r="AN24" i="43"/>
  <c r="AK24" i="43"/>
  <c r="AH24" i="43"/>
  <c r="AE24" i="43"/>
  <c r="AB24" i="43"/>
  <c r="Y24" i="43"/>
  <c r="V24" i="43"/>
  <c r="S24" i="43"/>
  <c r="P24" i="43"/>
  <c r="M24" i="43"/>
  <c r="D24" i="43"/>
  <c r="AQ23" i="43"/>
  <c r="AN23" i="43"/>
  <c r="AK23" i="43"/>
  <c r="AH23" i="43"/>
  <c r="AE23" i="43"/>
  <c r="AB23" i="43"/>
  <c r="Y23" i="43"/>
  <c r="V23" i="43"/>
  <c r="S23" i="43"/>
  <c r="P23" i="43"/>
  <c r="M23" i="43"/>
  <c r="D23" i="43"/>
  <c r="D22" i="43"/>
  <c r="AQ21" i="43"/>
  <c r="AN21" i="43"/>
  <c r="AK21" i="43"/>
  <c r="AH21" i="43"/>
  <c r="AE21" i="43"/>
  <c r="AB21" i="43"/>
  <c r="Y21" i="43"/>
  <c r="V21" i="43"/>
  <c r="S21" i="43"/>
  <c r="P21" i="43"/>
  <c r="M21" i="43"/>
  <c r="D21" i="43"/>
  <c r="AQ20" i="43"/>
  <c r="AN20" i="43"/>
  <c r="AK20" i="43"/>
  <c r="AH20" i="43"/>
  <c r="AE20" i="43"/>
  <c r="AB20" i="43"/>
  <c r="Y20" i="43"/>
  <c r="V20" i="43"/>
  <c r="S20" i="43"/>
  <c r="P20" i="43"/>
  <c r="M20" i="43"/>
  <c r="D20" i="43"/>
  <c r="AP19" i="43"/>
  <c r="AO19" i="43"/>
  <c r="AM19" i="43"/>
  <c r="AL19" i="43"/>
  <c r="AJ19" i="43"/>
  <c r="AI19" i="43"/>
  <c r="AG19" i="43"/>
  <c r="AF19" i="43"/>
  <c r="AD19" i="43"/>
  <c r="AC19" i="43"/>
  <c r="AA19" i="43"/>
  <c r="Z19" i="43"/>
  <c r="X19" i="43"/>
  <c r="W19" i="43"/>
  <c r="U19" i="43"/>
  <c r="T19" i="43"/>
  <c r="R19" i="43"/>
  <c r="Q19" i="43"/>
  <c r="O19" i="43"/>
  <c r="N19" i="43"/>
  <c r="L19" i="43"/>
  <c r="K19" i="43"/>
  <c r="B19" i="43"/>
  <c r="AO18" i="43"/>
  <c r="AQ18" i="43" s="1"/>
  <c r="AL18" i="43"/>
  <c r="AN18" i="43" s="1"/>
  <c r="AI18" i="43"/>
  <c r="AK18" i="43" s="1"/>
  <c r="AF18" i="43"/>
  <c r="AF15" i="43" s="1"/>
  <c r="AC18" i="43"/>
  <c r="AE18" i="43" s="1"/>
  <c r="Z18" i="43"/>
  <c r="Z15" i="43" s="1"/>
  <c r="W18" i="43"/>
  <c r="W15" i="43" s="1"/>
  <c r="T18" i="43"/>
  <c r="V18" i="43" s="1"/>
  <c r="Q18" i="43"/>
  <c r="S18" i="43" s="1"/>
  <c r="N18" i="43"/>
  <c r="N15" i="43" s="1"/>
  <c r="K18" i="43"/>
  <c r="B18" i="43"/>
  <c r="AQ17" i="43"/>
  <c r="AN17" i="43"/>
  <c r="AK17" i="43"/>
  <c r="AH17" i="43"/>
  <c r="AE17" i="43"/>
  <c r="AB17" i="43"/>
  <c r="Y17" i="43"/>
  <c r="V17" i="43"/>
  <c r="S17" i="43"/>
  <c r="P17" i="43"/>
  <c r="M17" i="43"/>
  <c r="D17" i="43"/>
  <c r="AQ16" i="43"/>
  <c r="AN16" i="43"/>
  <c r="AK16" i="43"/>
  <c r="AH16" i="43"/>
  <c r="AE16" i="43"/>
  <c r="Y16" i="43"/>
  <c r="V16" i="43"/>
  <c r="S16" i="43"/>
  <c r="P16" i="43"/>
  <c r="M16" i="43"/>
  <c r="B16" i="43"/>
  <c r="E16" i="43" s="1"/>
  <c r="AP15" i="43"/>
  <c r="AM15" i="43"/>
  <c r="AJ15" i="43"/>
  <c r="AD15" i="43"/>
  <c r="U15" i="43"/>
  <c r="R15" i="43"/>
  <c r="O15" i="43"/>
  <c r="L15" i="43"/>
  <c r="AQ13" i="43"/>
  <c r="AN13" i="43"/>
  <c r="AK13" i="43"/>
  <c r="AH13" i="43"/>
  <c r="AE13" i="43"/>
  <c r="AB13" i="43"/>
  <c r="Y13" i="43"/>
  <c r="V13" i="43"/>
  <c r="S13" i="43"/>
  <c r="P13" i="43"/>
  <c r="M13" i="43"/>
  <c r="D13" i="43"/>
  <c r="D12" i="43"/>
  <c r="D11" i="43"/>
  <c r="D10" i="43"/>
  <c r="AO9" i="43"/>
  <c r="AQ9" i="43" s="1"/>
  <c r="AL9" i="43"/>
  <c r="AN9" i="43" s="1"/>
  <c r="AI9" i="43"/>
  <c r="AK9" i="43" s="1"/>
  <c r="AF9" i="43"/>
  <c r="AH9" i="43" s="1"/>
  <c r="AC9" i="43"/>
  <c r="AE9" i="43" s="1"/>
  <c r="Z9" i="43"/>
  <c r="W9" i="43"/>
  <c r="Y9" i="43" s="1"/>
  <c r="T9" i="43"/>
  <c r="V9" i="43" s="1"/>
  <c r="Q9" i="43"/>
  <c r="S9" i="43" s="1"/>
  <c r="N9" i="43"/>
  <c r="K9" i="43"/>
  <c r="B9" i="43"/>
  <c r="AQ47" i="42"/>
  <c r="AN47" i="42"/>
  <c r="AK47" i="42"/>
  <c r="AH47" i="42"/>
  <c r="AE47" i="42"/>
  <c r="AB47" i="42"/>
  <c r="Y47" i="42"/>
  <c r="V47" i="42"/>
  <c r="S47" i="42"/>
  <c r="P47" i="42"/>
  <c r="M47" i="42"/>
  <c r="D47" i="42"/>
  <c r="G46" i="42"/>
  <c r="D46" i="42"/>
  <c r="AQ45" i="42"/>
  <c r="AN45" i="42"/>
  <c r="AK45" i="42"/>
  <c r="AB45" i="42"/>
  <c r="V45" i="42"/>
  <c r="S45" i="42"/>
  <c r="P45" i="42"/>
  <c r="D45" i="42"/>
  <c r="AN44" i="42"/>
  <c r="AH44" i="42"/>
  <c r="V44" i="42"/>
  <c r="S44" i="42"/>
  <c r="M44" i="42"/>
  <c r="D44" i="42"/>
  <c r="AQ43" i="42"/>
  <c r="AN43" i="42"/>
  <c r="AK43" i="42"/>
  <c r="AH43" i="42"/>
  <c r="AE43" i="42"/>
  <c r="AB43" i="42"/>
  <c r="Y43" i="42"/>
  <c r="V43" i="42"/>
  <c r="S43" i="42"/>
  <c r="P43" i="42"/>
  <c r="M43" i="42"/>
  <c r="J43" i="42"/>
  <c r="G43" i="42"/>
  <c r="D43" i="42"/>
  <c r="AQ42" i="42"/>
  <c r="AN42" i="42"/>
  <c r="AK42" i="42"/>
  <c r="AH42" i="42"/>
  <c r="AE42" i="42"/>
  <c r="AB42" i="42"/>
  <c r="Y42" i="42"/>
  <c r="V42" i="42"/>
  <c r="S42" i="42"/>
  <c r="P42" i="42"/>
  <c r="M42" i="42"/>
  <c r="J42" i="42"/>
  <c r="G42" i="42"/>
  <c r="D42" i="42"/>
  <c r="D36" i="42"/>
  <c r="D35" i="42"/>
  <c r="D34" i="42"/>
  <c r="AQ32" i="42"/>
  <c r="AN32" i="42"/>
  <c r="AK32" i="42"/>
  <c r="AH32" i="42"/>
  <c r="AE32" i="42"/>
  <c r="Y32" i="42"/>
  <c r="V32" i="42"/>
  <c r="S32" i="42"/>
  <c r="P32" i="42"/>
  <c r="M32" i="42"/>
  <c r="D32" i="42"/>
  <c r="AQ31" i="42"/>
  <c r="AN31" i="42"/>
  <c r="AK31" i="42"/>
  <c r="AH31" i="42"/>
  <c r="AE31" i="42"/>
  <c r="AB31" i="42"/>
  <c r="Y31" i="42"/>
  <c r="V31" i="42"/>
  <c r="S31" i="42"/>
  <c r="P31" i="42"/>
  <c r="M31" i="42"/>
  <c r="D31" i="42"/>
  <c r="AP30" i="42"/>
  <c r="AQ30" i="42" s="1"/>
  <c r="AM30" i="42"/>
  <c r="AN30" i="42" s="1"/>
  <c r="AJ30" i="42"/>
  <c r="AK30" i="42" s="1"/>
  <c r="AG30" i="42"/>
  <c r="AH30" i="42" s="1"/>
  <c r="AD30" i="42"/>
  <c r="AE30" i="42" s="1"/>
  <c r="X30" i="42"/>
  <c r="Y30" i="42" s="1"/>
  <c r="U30" i="42"/>
  <c r="U9" i="42" s="1"/>
  <c r="U41" i="42" s="1"/>
  <c r="R30" i="42"/>
  <c r="R9" i="42" s="1"/>
  <c r="R41" i="42" s="1"/>
  <c r="O30" i="42"/>
  <c r="P30" i="42" s="1"/>
  <c r="L30" i="42"/>
  <c r="C30" i="42"/>
  <c r="C9" i="42" s="1"/>
  <c r="C41" i="42" s="1"/>
  <c r="B30" i="42"/>
  <c r="E30" i="42" s="1"/>
  <c r="AQ29" i="42"/>
  <c r="M29" i="42"/>
  <c r="D29" i="42"/>
  <c r="AQ27" i="42"/>
  <c r="AK27" i="42"/>
  <c r="AB27" i="42"/>
  <c r="Y27" i="42"/>
  <c r="V27" i="42"/>
  <c r="S27" i="42"/>
  <c r="P27" i="42"/>
  <c r="M27" i="42"/>
  <c r="D27" i="42"/>
  <c r="AQ26" i="42"/>
  <c r="AN26" i="42"/>
  <c r="AK26" i="42"/>
  <c r="AH26" i="42"/>
  <c r="AE26" i="42"/>
  <c r="AB26" i="42"/>
  <c r="Y26" i="42"/>
  <c r="V26" i="42"/>
  <c r="S26" i="42"/>
  <c r="P26" i="42"/>
  <c r="M26" i="42"/>
  <c r="D26" i="42"/>
  <c r="AP25" i="42"/>
  <c r="AQ25" i="42" s="1"/>
  <c r="AM25" i="42"/>
  <c r="AN25" i="42" s="1"/>
  <c r="AJ25" i="42"/>
  <c r="AK25" i="42" s="1"/>
  <c r="AG25" i="42"/>
  <c r="AH25" i="42" s="1"/>
  <c r="AD25" i="42"/>
  <c r="AE25" i="42" s="1"/>
  <c r="AA25" i="42"/>
  <c r="AB25" i="42" s="1"/>
  <c r="X25" i="42"/>
  <c r="Y25" i="42" s="1"/>
  <c r="U25" i="42"/>
  <c r="V25" i="42" s="1"/>
  <c r="R25" i="42"/>
  <c r="S25" i="42" s="1"/>
  <c r="O25" i="42"/>
  <c r="P25" i="42" s="1"/>
  <c r="L25" i="42"/>
  <c r="C25" i="42"/>
  <c r="B25" i="42"/>
  <c r="E25" i="42" s="1"/>
  <c r="AQ24" i="42"/>
  <c r="AN24" i="42"/>
  <c r="AK24" i="42"/>
  <c r="AH24" i="42"/>
  <c r="AE24" i="42"/>
  <c r="AB24" i="42"/>
  <c r="Y24" i="42"/>
  <c r="S24" i="42"/>
  <c r="D24" i="42"/>
  <c r="D23" i="42"/>
  <c r="AQ22" i="42"/>
  <c r="AN22" i="42"/>
  <c r="AK22" i="42"/>
  <c r="AH22" i="42"/>
  <c r="AE22" i="42"/>
  <c r="AB22" i="42"/>
  <c r="Y22" i="42"/>
  <c r="V22" i="42"/>
  <c r="S22" i="42"/>
  <c r="P22" i="42"/>
  <c r="M22" i="42"/>
  <c r="D22" i="42"/>
  <c r="AQ21" i="42"/>
  <c r="AN21" i="42"/>
  <c r="AK21" i="42"/>
  <c r="AH21" i="42"/>
  <c r="AE21" i="42"/>
  <c r="AB21" i="42"/>
  <c r="Y21" i="42"/>
  <c r="V21" i="42"/>
  <c r="S21" i="42"/>
  <c r="P21" i="42"/>
  <c r="M21" i="42"/>
  <c r="D21" i="42"/>
  <c r="AP20" i="42"/>
  <c r="AM20" i="42"/>
  <c r="AJ20" i="42"/>
  <c r="AG20" i="42"/>
  <c r="AD20" i="42"/>
  <c r="AA20" i="42"/>
  <c r="X20" i="42"/>
  <c r="U20" i="42"/>
  <c r="R20" i="42"/>
  <c r="O20" i="42"/>
  <c r="L20" i="42"/>
  <c r="C20" i="42"/>
  <c r="B20" i="42"/>
  <c r="E20" i="42" s="1"/>
  <c r="D19" i="42"/>
  <c r="D18" i="42"/>
  <c r="AQ17" i="42"/>
  <c r="AN17" i="42"/>
  <c r="AK17" i="42"/>
  <c r="AH17" i="42"/>
  <c r="AE17" i="42"/>
  <c r="AB17" i="42"/>
  <c r="Y17" i="42"/>
  <c r="V17" i="42"/>
  <c r="S17" i="42"/>
  <c r="P17" i="42"/>
  <c r="M17" i="42"/>
  <c r="D17" i="42"/>
  <c r="AQ16" i="42"/>
  <c r="AN16" i="42"/>
  <c r="AK16" i="42"/>
  <c r="AH16" i="42"/>
  <c r="AE16" i="42"/>
  <c r="AB16" i="42"/>
  <c r="Y16" i="42"/>
  <c r="V16" i="42"/>
  <c r="S16" i="42"/>
  <c r="P16" i="42"/>
  <c r="M16" i="42"/>
  <c r="J16" i="42"/>
  <c r="D16" i="42"/>
  <c r="AQ15" i="42"/>
  <c r="AN15" i="42"/>
  <c r="AK15" i="42"/>
  <c r="AH15" i="42"/>
  <c r="AE15" i="42"/>
  <c r="AB15" i="42"/>
  <c r="Y15" i="42"/>
  <c r="V15" i="42"/>
  <c r="S15" i="42"/>
  <c r="P15" i="42"/>
  <c r="D15" i="42"/>
  <c r="AQ14" i="42"/>
  <c r="AN14" i="42"/>
  <c r="AK14" i="42"/>
  <c r="AH14" i="42"/>
  <c r="AE14" i="42"/>
  <c r="AB14" i="42"/>
  <c r="Y14" i="42"/>
  <c r="V14" i="42"/>
  <c r="S14" i="42"/>
  <c r="P14" i="42"/>
  <c r="M14" i="42"/>
  <c r="J14" i="42"/>
  <c r="D14" i="42"/>
  <c r="D13" i="42"/>
  <c r="AQ12" i="42"/>
  <c r="AN12" i="42"/>
  <c r="AK12" i="42"/>
  <c r="AH12" i="42"/>
  <c r="AE12" i="42"/>
  <c r="AB12" i="42"/>
  <c r="Y12" i="42"/>
  <c r="V12" i="42"/>
  <c r="S12" i="42"/>
  <c r="P12" i="42"/>
  <c r="M12" i="42"/>
  <c r="D12" i="42"/>
  <c r="AH11" i="42"/>
  <c r="Y11" i="42"/>
  <c r="V11" i="42"/>
  <c r="P11" i="42"/>
  <c r="M11" i="42"/>
  <c r="J11" i="42"/>
  <c r="D11" i="42"/>
  <c r="AO9" i="42"/>
  <c r="AO41" i="42" s="1"/>
  <c r="AL9" i="42"/>
  <c r="AL41" i="42" s="1"/>
  <c r="AI9" i="42"/>
  <c r="AI41" i="42" s="1"/>
  <c r="AI39" i="42" s="1"/>
  <c r="AI40" i="42" s="1"/>
  <c r="AF9" i="42"/>
  <c r="AF7" i="42" s="1"/>
  <c r="AC9" i="42"/>
  <c r="AC41" i="42" s="1"/>
  <c r="Z9" i="42"/>
  <c r="Z41" i="42" s="1"/>
  <c r="W9" i="42"/>
  <c r="W41" i="42" s="1"/>
  <c r="W39" i="42" s="1"/>
  <c r="W40" i="42" s="1"/>
  <c r="T9" i="42"/>
  <c r="T7" i="42" s="1"/>
  <c r="Q9" i="42"/>
  <c r="Q41" i="42" s="1"/>
  <c r="N9" i="42"/>
  <c r="N41" i="42" s="1"/>
  <c r="K9" i="42"/>
  <c r="D8" i="42"/>
  <c r="AL15" i="43" l="1"/>
  <c r="AL14" i="43" s="1"/>
  <c r="AL8" i="43" s="1"/>
  <c r="AL7" i="43" s="1"/>
  <c r="AB41" i="43"/>
  <c r="AN41" i="43"/>
  <c r="AQ19" i="43"/>
  <c r="T15" i="43"/>
  <c r="Z14" i="43"/>
  <c r="H19" i="43"/>
  <c r="E19" i="43" s="1"/>
  <c r="S19" i="43"/>
  <c r="AE19" i="43"/>
  <c r="AN19" i="43"/>
  <c r="Q15" i="43"/>
  <c r="Q14" i="43" s="1"/>
  <c r="Q8" i="43" s="1"/>
  <c r="Q7" i="43" s="1"/>
  <c r="B15" i="43"/>
  <c r="B14" i="43" s="1"/>
  <c r="B8" i="43" s="1"/>
  <c r="H41" i="43"/>
  <c r="E41" i="43" s="1"/>
  <c r="W14" i="43"/>
  <c r="W8" i="43" s="1"/>
  <c r="W7" i="43" s="1"/>
  <c r="AI15" i="43"/>
  <c r="AI14" i="43" s="1"/>
  <c r="AI8" i="43" s="1"/>
  <c r="AI7" i="43" s="1"/>
  <c r="P9" i="43"/>
  <c r="M18" i="43"/>
  <c r="H18" i="43"/>
  <c r="E18" i="43" s="1"/>
  <c r="P19" i="43"/>
  <c r="AB19" i="43"/>
  <c r="S41" i="43"/>
  <c r="AE41" i="43"/>
  <c r="AQ41" i="43"/>
  <c r="H9" i="43"/>
  <c r="E9" i="43" s="1"/>
  <c r="R14" i="43"/>
  <c r="R8" i="43" s="1"/>
  <c r="R7" i="43" s="1"/>
  <c r="AN15" i="43"/>
  <c r="AF14" i="43"/>
  <c r="AF8" i="43" s="1"/>
  <c r="AF7" i="43" s="1"/>
  <c r="Y19" i="43"/>
  <c r="AK19" i="43"/>
  <c r="H28" i="43"/>
  <c r="E28" i="43" s="1"/>
  <c r="M9" i="43"/>
  <c r="P15" i="43"/>
  <c r="N14" i="43"/>
  <c r="N8" i="43" s="1"/>
  <c r="N7" i="43" s="1"/>
  <c r="V19" i="43"/>
  <c r="AH19" i="43"/>
  <c r="M28" i="43"/>
  <c r="M41" i="43"/>
  <c r="Y41" i="43"/>
  <c r="AK41" i="43"/>
  <c r="AJ9" i="42"/>
  <c r="AJ41" i="42" s="1"/>
  <c r="AJ39" i="42" s="1"/>
  <c r="O9" i="42"/>
  <c r="O10" i="42" s="1"/>
  <c r="AG9" i="42"/>
  <c r="AG41" i="42" s="1"/>
  <c r="B9" i="42"/>
  <c r="B39" i="42" s="1"/>
  <c r="X9" i="42"/>
  <c r="X41" i="42" s="1"/>
  <c r="Y41" i="42" s="1"/>
  <c r="AM9" i="42"/>
  <c r="AM41" i="42" s="1"/>
  <c r="I20" i="42"/>
  <c r="F20" i="42" s="1"/>
  <c r="G20" i="42" s="1"/>
  <c r="I46" i="43"/>
  <c r="F46" i="43" s="1"/>
  <c r="P41" i="43"/>
  <c r="I41" i="43"/>
  <c r="M19" i="43"/>
  <c r="I19" i="43"/>
  <c r="L14" i="43"/>
  <c r="D46" i="43"/>
  <c r="AP9" i="42"/>
  <c r="AP41" i="42" s="1"/>
  <c r="AQ41" i="42" s="1"/>
  <c r="M30" i="42"/>
  <c r="L9" i="42"/>
  <c r="M9" i="42" s="1"/>
  <c r="M25" i="42"/>
  <c r="I25" i="42"/>
  <c r="F25" i="42" s="1"/>
  <c r="K41" i="42"/>
  <c r="K38" i="42" s="1"/>
  <c r="H9" i="42"/>
  <c r="D20" i="42"/>
  <c r="C7" i="42"/>
  <c r="C10" i="42"/>
  <c r="D30" i="42"/>
  <c r="AJ14" i="43"/>
  <c r="AJ8" i="43" s="1"/>
  <c r="U14" i="43"/>
  <c r="U8" i="43" s="1"/>
  <c r="U7" i="43" s="1"/>
  <c r="O14" i="43"/>
  <c r="O8" i="43" s="1"/>
  <c r="O7" i="43" s="1"/>
  <c r="D9" i="43"/>
  <c r="Z8" i="43"/>
  <c r="Z7" i="43" s="1"/>
  <c r="J44" i="43"/>
  <c r="G11" i="43"/>
  <c r="AO15" i="43"/>
  <c r="AO14" i="43" s="1"/>
  <c r="AO8" i="43" s="1"/>
  <c r="AO7" i="43" s="1"/>
  <c r="J21" i="43"/>
  <c r="Y28" i="43"/>
  <c r="V41" i="43"/>
  <c r="AH41" i="43"/>
  <c r="AD14" i="43"/>
  <c r="K15" i="43"/>
  <c r="AC15" i="43"/>
  <c r="AC14" i="43" s="1"/>
  <c r="AC8" i="43" s="1"/>
  <c r="AC7" i="43" s="1"/>
  <c r="J29" i="43"/>
  <c r="G32" i="43"/>
  <c r="G34" i="43"/>
  <c r="J13" i="43"/>
  <c r="J26" i="43"/>
  <c r="J33" i="43"/>
  <c r="J36" i="43"/>
  <c r="G10" i="43"/>
  <c r="G12" i="43"/>
  <c r="G38" i="43"/>
  <c r="G22" i="43"/>
  <c r="G13" i="43"/>
  <c r="J27" i="43"/>
  <c r="J31" i="43"/>
  <c r="J24" i="43"/>
  <c r="J32" i="43"/>
  <c r="G42" i="43"/>
  <c r="G25" i="43"/>
  <c r="G27" i="43"/>
  <c r="G39" i="43"/>
  <c r="G44" i="43"/>
  <c r="G21" i="43"/>
  <c r="J23" i="43"/>
  <c r="G24" i="43"/>
  <c r="J30" i="43"/>
  <c r="J34" i="43"/>
  <c r="J45" i="43"/>
  <c r="J20" i="43"/>
  <c r="J25" i="43"/>
  <c r="G26" i="43"/>
  <c r="G45" i="43"/>
  <c r="C41" i="43"/>
  <c r="G8" i="42"/>
  <c r="J18" i="42"/>
  <c r="J19" i="42"/>
  <c r="J21" i="42"/>
  <c r="J26" i="42"/>
  <c r="J31" i="42"/>
  <c r="G36" i="42"/>
  <c r="G19" i="42"/>
  <c r="G18" i="42"/>
  <c r="AJ7" i="42"/>
  <c r="AD9" i="42"/>
  <c r="AD41" i="42" s="1"/>
  <c r="AD39" i="42" s="1"/>
  <c r="J32" i="42"/>
  <c r="J24" i="42"/>
  <c r="G23" i="42"/>
  <c r="V30" i="42"/>
  <c r="U7" i="42"/>
  <c r="V7" i="42" s="1"/>
  <c r="S30" i="42"/>
  <c r="G14" i="42"/>
  <c r="G31" i="42"/>
  <c r="O7" i="42"/>
  <c r="G32" i="42"/>
  <c r="G21" i="42"/>
  <c r="G12" i="42"/>
  <c r="J12" i="42"/>
  <c r="G11" i="42"/>
  <c r="O41" i="42"/>
  <c r="P41" i="42" s="1"/>
  <c r="R7" i="42"/>
  <c r="AG7" i="42"/>
  <c r="AH7" i="42" s="1"/>
  <c r="G13" i="42"/>
  <c r="G17" i="43"/>
  <c r="C15" i="43"/>
  <c r="D18" i="43"/>
  <c r="AM14" i="43"/>
  <c r="AN28" i="43"/>
  <c r="T14" i="43"/>
  <c r="T8" i="43" s="1"/>
  <c r="T7" i="43" s="1"/>
  <c r="D16" i="43"/>
  <c r="X15" i="43"/>
  <c r="Y18" i="43"/>
  <c r="C19" i="43"/>
  <c r="D25" i="43"/>
  <c r="S28" i="43"/>
  <c r="AB9" i="43"/>
  <c r="P18" i="43"/>
  <c r="AA15" i="43"/>
  <c r="AB16" i="43"/>
  <c r="J16" i="43"/>
  <c r="J17" i="43"/>
  <c r="AG15" i="43"/>
  <c r="AH18" i="43"/>
  <c r="AP14" i="43"/>
  <c r="AQ28" i="43"/>
  <c r="D36" i="43"/>
  <c r="G20" i="43"/>
  <c r="AQ35" i="43"/>
  <c r="G23" i="43"/>
  <c r="G33" i="43"/>
  <c r="V15" i="43"/>
  <c r="Q39" i="42"/>
  <c r="Q40" i="42" s="1"/>
  <c r="Q38" i="42"/>
  <c r="Q37" i="42" s="1"/>
  <c r="Z39" i="42"/>
  <c r="Z40" i="42" s="1"/>
  <c r="Z38" i="42"/>
  <c r="Z37" i="42" s="1"/>
  <c r="AO10" i="42"/>
  <c r="AF41" i="42"/>
  <c r="AH41" i="42" s="1"/>
  <c r="K10" i="42"/>
  <c r="N10" i="42"/>
  <c r="P10" i="42" s="1"/>
  <c r="Q10" i="42"/>
  <c r="T10" i="42"/>
  <c r="W10" i="42"/>
  <c r="Z10" i="42"/>
  <c r="AC10" i="42"/>
  <c r="AF10" i="42"/>
  <c r="AI10" i="42"/>
  <c r="AL10" i="42"/>
  <c r="M15" i="42"/>
  <c r="J22" i="42"/>
  <c r="J29" i="42"/>
  <c r="G35" i="42"/>
  <c r="W38" i="42"/>
  <c r="W37" i="42" s="1"/>
  <c r="T41" i="42"/>
  <c r="V41" i="42" s="1"/>
  <c r="AO39" i="42"/>
  <c r="AO40" i="42" s="1"/>
  <c r="AO38" i="42"/>
  <c r="AO37" i="42" s="1"/>
  <c r="AI38" i="42"/>
  <c r="AI37" i="42" s="1"/>
  <c r="U38" i="42"/>
  <c r="U39" i="42"/>
  <c r="AK41" i="42"/>
  <c r="AJ38" i="42"/>
  <c r="J17" i="42"/>
  <c r="G22" i="42"/>
  <c r="D25" i="42"/>
  <c r="AA30" i="42"/>
  <c r="I30" i="42" s="1"/>
  <c r="F30" i="42" s="1"/>
  <c r="AB32" i="42"/>
  <c r="J47" i="42"/>
  <c r="G47" i="42"/>
  <c r="N39" i="42"/>
  <c r="N40" i="42" s="1"/>
  <c r="N38" i="42"/>
  <c r="N37" i="42" s="1"/>
  <c r="AC39" i="42"/>
  <c r="AC40" i="42" s="1"/>
  <c r="AC38" i="42"/>
  <c r="AC37" i="42" s="1"/>
  <c r="AL39" i="42"/>
  <c r="AL40" i="42" s="1"/>
  <c r="AL38" i="42"/>
  <c r="AL37" i="42" s="1"/>
  <c r="J27" i="42"/>
  <c r="AJ40" i="42"/>
  <c r="AK40" i="42" s="1"/>
  <c r="AK39" i="42"/>
  <c r="Y45" i="42"/>
  <c r="AK44" i="42"/>
  <c r="S41" i="42"/>
  <c r="R38" i="42"/>
  <c r="R39" i="42"/>
  <c r="AG38" i="42"/>
  <c r="AG39" i="42"/>
  <c r="K7" i="42"/>
  <c r="N7" i="42"/>
  <c r="Q7" i="42"/>
  <c r="W7" i="42"/>
  <c r="Z7" i="42"/>
  <c r="AC7" i="42"/>
  <c r="AI7" i="42"/>
  <c r="AL7" i="42"/>
  <c r="AO7" i="42"/>
  <c r="P9" i="42"/>
  <c r="S9" i="42"/>
  <c r="V9" i="42"/>
  <c r="AH9" i="42"/>
  <c r="AK9" i="42"/>
  <c r="R10" i="42"/>
  <c r="U10" i="42"/>
  <c r="AG10" i="42"/>
  <c r="AJ10" i="42"/>
  <c r="G17" i="42"/>
  <c r="P44" i="42"/>
  <c r="AB44" i="42"/>
  <c r="AE45" i="42"/>
  <c r="AQ44" i="42"/>
  <c r="S15" i="43" l="1"/>
  <c r="AK15" i="43"/>
  <c r="J9" i="43"/>
  <c r="J19" i="43"/>
  <c r="AK8" i="43"/>
  <c r="K14" i="43"/>
  <c r="M14" i="43" s="1"/>
  <c r="H15" i="43"/>
  <c r="E15" i="43" s="1"/>
  <c r="P7" i="43"/>
  <c r="S14" i="43"/>
  <c r="AQ15" i="43"/>
  <c r="B7" i="43"/>
  <c r="B7" i="42"/>
  <c r="D41" i="42"/>
  <c r="X39" i="42"/>
  <c r="Y9" i="42"/>
  <c r="X10" i="42"/>
  <c r="Y10" i="42" s="1"/>
  <c r="X7" i="42"/>
  <c r="AN9" i="42"/>
  <c r="B10" i="42"/>
  <c r="D10" i="42" s="1"/>
  <c r="D9" i="42"/>
  <c r="B38" i="42"/>
  <c r="B37" i="42" s="1"/>
  <c r="E9" i="42"/>
  <c r="AP10" i="42"/>
  <c r="AQ10" i="42" s="1"/>
  <c r="AQ9" i="42"/>
  <c r="S10" i="42"/>
  <c r="AM10" i="42"/>
  <c r="AN10" i="42" s="1"/>
  <c r="AK7" i="42"/>
  <c r="AM7" i="42"/>
  <c r="AN7" i="42" s="1"/>
  <c r="AP7" i="42"/>
  <c r="AQ7" i="42" s="1"/>
  <c r="J20" i="42"/>
  <c r="L7" i="42"/>
  <c r="M7" i="42" s="1"/>
  <c r="L41" i="42"/>
  <c r="L38" i="42" s="1"/>
  <c r="L37" i="42" s="1"/>
  <c r="I15" i="43"/>
  <c r="F15" i="43" s="1"/>
  <c r="F19" i="43"/>
  <c r="G19" i="43" s="1"/>
  <c r="L8" i="43"/>
  <c r="L7" i="43" s="1"/>
  <c r="D41" i="43"/>
  <c r="F41" i="43"/>
  <c r="G41" i="43" s="1"/>
  <c r="AP39" i="42"/>
  <c r="AQ39" i="42" s="1"/>
  <c r="AP38" i="42"/>
  <c r="AP37" i="42" s="1"/>
  <c r="AQ37" i="42" s="1"/>
  <c r="AE9" i="42"/>
  <c r="AE41" i="42"/>
  <c r="AD7" i="42"/>
  <c r="AE7" i="42" s="1"/>
  <c r="AD10" i="42"/>
  <c r="AE10" i="42" s="1"/>
  <c r="Y7" i="42"/>
  <c r="L10" i="42"/>
  <c r="M10" i="42" s="1"/>
  <c r="J25" i="42"/>
  <c r="H10" i="42"/>
  <c r="H7" i="42"/>
  <c r="E7" i="42" s="1"/>
  <c r="K39" i="42"/>
  <c r="H41" i="42"/>
  <c r="E41" i="42" s="1"/>
  <c r="C39" i="42"/>
  <c r="D39" i="42" s="1"/>
  <c r="C38" i="42"/>
  <c r="D38" i="42" s="1"/>
  <c r="J41" i="43"/>
  <c r="AK14" i="43"/>
  <c r="AJ7" i="43"/>
  <c r="AK7" i="43" s="1"/>
  <c r="V7" i="43"/>
  <c r="P8" i="43"/>
  <c r="P14" i="43"/>
  <c r="G36" i="43"/>
  <c r="J35" i="43"/>
  <c r="AE15" i="43"/>
  <c r="AE14" i="43"/>
  <c r="AD8" i="43"/>
  <c r="V8" i="43"/>
  <c r="V14" i="43"/>
  <c r="M15" i="43"/>
  <c r="J28" i="43"/>
  <c r="S7" i="42"/>
  <c r="P7" i="42"/>
  <c r="O38" i="42"/>
  <c r="O37" i="42" s="1"/>
  <c r="P37" i="42" s="1"/>
  <c r="O39" i="42"/>
  <c r="P39" i="42" s="1"/>
  <c r="AK10" i="42"/>
  <c r="AQ14" i="43"/>
  <c r="AP8" i="43"/>
  <c r="AH15" i="43"/>
  <c r="AG14" i="43"/>
  <c r="AB15" i="43"/>
  <c r="AA14" i="43"/>
  <c r="D19" i="43"/>
  <c r="AB18" i="43"/>
  <c r="S7" i="43"/>
  <c r="G16" i="43"/>
  <c r="G9" i="43"/>
  <c r="AN14" i="43"/>
  <c r="AM8" i="43"/>
  <c r="S8" i="43"/>
  <c r="G28" i="43"/>
  <c r="Y15" i="43"/>
  <c r="X14" i="43"/>
  <c r="D15" i="43"/>
  <c r="C14" i="43"/>
  <c r="AE39" i="42"/>
  <c r="AD40" i="42"/>
  <c r="AE40" i="42" s="1"/>
  <c r="AN41" i="42"/>
  <c r="AM39" i="42"/>
  <c r="AM38" i="42"/>
  <c r="AJ37" i="42"/>
  <c r="AK37" i="42" s="1"/>
  <c r="AK38" i="42"/>
  <c r="V10" i="42"/>
  <c r="AG37" i="42"/>
  <c r="S39" i="42"/>
  <c r="R40" i="42"/>
  <c r="S40" i="42" s="1"/>
  <c r="J45" i="42"/>
  <c r="G45" i="42"/>
  <c r="U40" i="42"/>
  <c r="T39" i="42"/>
  <c r="T38" i="42"/>
  <c r="T37" i="42" s="1"/>
  <c r="AG40" i="42"/>
  <c r="AA9" i="42"/>
  <c r="I9" i="42" s="1"/>
  <c r="F9" i="42" s="1"/>
  <c r="AB30" i="42"/>
  <c r="X40" i="42"/>
  <c r="Y40" i="42" s="1"/>
  <c r="Y39" i="42"/>
  <c r="AH10" i="42"/>
  <c r="R37" i="42"/>
  <c r="S37" i="42" s="1"/>
  <c r="S38" i="42"/>
  <c r="K37" i="42"/>
  <c r="U37" i="42"/>
  <c r="AF39" i="42"/>
  <c r="AF40" i="42" s="1"/>
  <c r="AF38" i="42"/>
  <c r="AF37" i="42" s="1"/>
  <c r="G44" i="42"/>
  <c r="J44" i="42"/>
  <c r="J15" i="42"/>
  <c r="AE44" i="42"/>
  <c r="Y44" i="42"/>
  <c r="D7" i="42"/>
  <c r="X38" i="42"/>
  <c r="AD38" i="42"/>
  <c r="B40" i="42"/>
  <c r="K8" i="43" l="1"/>
  <c r="M8" i="43" s="1"/>
  <c r="H14" i="43"/>
  <c r="E14" i="43" s="1"/>
  <c r="M38" i="42"/>
  <c r="E10" i="42"/>
  <c r="AP40" i="42"/>
  <c r="AQ40" i="42" s="1"/>
  <c r="M41" i="42"/>
  <c r="AQ38" i="42"/>
  <c r="H37" i="42"/>
  <c r="E37" i="42" s="1"/>
  <c r="L39" i="42"/>
  <c r="L40" i="42" s="1"/>
  <c r="J15" i="43"/>
  <c r="I14" i="43"/>
  <c r="F14" i="43" s="1"/>
  <c r="H39" i="42"/>
  <c r="E39" i="42" s="1"/>
  <c r="K40" i="42"/>
  <c r="H38" i="42"/>
  <c r="E38" i="42" s="1"/>
  <c r="C40" i="42"/>
  <c r="D40" i="42" s="1"/>
  <c r="C37" i="42"/>
  <c r="AE8" i="43"/>
  <c r="AD7" i="43"/>
  <c r="AE7" i="43" s="1"/>
  <c r="G15" i="43"/>
  <c r="P38" i="42"/>
  <c r="O40" i="42"/>
  <c r="P40" i="42" s="1"/>
  <c r="Y14" i="43"/>
  <c r="X8" i="43"/>
  <c r="AN8" i="43"/>
  <c r="AM7" i="43"/>
  <c r="AN7" i="43" s="1"/>
  <c r="AQ8" i="43"/>
  <c r="AP7" i="43"/>
  <c r="AQ7" i="43" s="1"/>
  <c r="D14" i="43"/>
  <c r="C8" i="43"/>
  <c r="AB14" i="43"/>
  <c r="AA8" i="43"/>
  <c r="J18" i="43"/>
  <c r="G18" i="43"/>
  <c r="AH14" i="43"/>
  <c r="AG8" i="43"/>
  <c r="X37" i="42"/>
  <c r="Y37" i="42" s="1"/>
  <c r="Y38" i="42"/>
  <c r="AH40" i="42"/>
  <c r="T40" i="42"/>
  <c r="M37" i="42"/>
  <c r="V38" i="42"/>
  <c r="AA41" i="42"/>
  <c r="I41" i="42" s="1"/>
  <c r="F41" i="42" s="1"/>
  <c r="AA10" i="42"/>
  <c r="I10" i="42" s="1"/>
  <c r="F10" i="42" s="1"/>
  <c r="AB9" i="42"/>
  <c r="AA7" i="42"/>
  <c r="I7" i="42" s="1"/>
  <c r="F7" i="42" s="1"/>
  <c r="AH38" i="42"/>
  <c r="AM37" i="42"/>
  <c r="AN37" i="42" s="1"/>
  <c r="AN38" i="42"/>
  <c r="AH39" i="42"/>
  <c r="AD37" i="42"/>
  <c r="AE37" i="42" s="1"/>
  <c r="AE38" i="42"/>
  <c r="V37" i="42"/>
  <c r="J30" i="42"/>
  <c r="G30" i="42"/>
  <c r="V39" i="42"/>
  <c r="AH37" i="42"/>
  <c r="AM40" i="42"/>
  <c r="AN40" i="42" s="1"/>
  <c r="AN39" i="42"/>
  <c r="H8" i="43" l="1"/>
  <c r="E8" i="43" s="1"/>
  <c r="K7" i="43"/>
  <c r="M39" i="42"/>
  <c r="J14" i="43"/>
  <c r="I8" i="43"/>
  <c r="F8" i="43" s="1"/>
  <c r="M40" i="42"/>
  <c r="H40" i="42"/>
  <c r="E40" i="42" s="1"/>
  <c r="D37" i="42"/>
  <c r="AH8" i="43"/>
  <c r="AG7" i="43"/>
  <c r="AH7" i="43" s="1"/>
  <c r="Y8" i="43"/>
  <c r="X7" i="43"/>
  <c r="D8" i="43"/>
  <c r="C7" i="43"/>
  <c r="AB8" i="43"/>
  <c r="AA7" i="43"/>
  <c r="AB7" i="43" s="1"/>
  <c r="G14" i="43"/>
  <c r="AB7" i="42"/>
  <c r="V40" i="42"/>
  <c r="AB10" i="42"/>
  <c r="J9" i="42"/>
  <c r="G9" i="42"/>
  <c r="AB41" i="42"/>
  <c r="AA39" i="42"/>
  <c r="I39" i="42" s="1"/>
  <c r="F39" i="42" s="1"/>
  <c r="AA38" i="42"/>
  <c r="I38" i="42" s="1"/>
  <c r="F38" i="42" s="1"/>
  <c r="H7" i="43" l="1"/>
  <c r="E7" i="43" s="1"/>
  <c r="M7" i="43"/>
  <c r="J8" i="43"/>
  <c r="I7" i="43"/>
  <c r="F7" i="43" s="1"/>
  <c r="G8" i="43"/>
  <c r="Y7" i="43"/>
  <c r="D7" i="43"/>
  <c r="AA37" i="42"/>
  <c r="I37" i="42" s="1"/>
  <c r="F37" i="42" s="1"/>
  <c r="AB38" i="42"/>
  <c r="J7" i="42"/>
  <c r="G7" i="42"/>
  <c r="J41" i="42"/>
  <c r="G41" i="42"/>
  <c r="AA40" i="42"/>
  <c r="I40" i="42" s="1"/>
  <c r="F40" i="42" s="1"/>
  <c r="AB39" i="42"/>
  <c r="J10" i="42"/>
  <c r="G10" i="42"/>
  <c r="J7" i="43" l="1"/>
  <c r="G7" i="43"/>
  <c r="AB40" i="42"/>
  <c r="J38" i="42"/>
  <c r="G38" i="42"/>
  <c r="J39" i="42"/>
  <c r="G39" i="42"/>
  <c r="AB37" i="42"/>
  <c r="J37" i="42" l="1"/>
  <c r="G37" i="42"/>
  <c r="J40" i="42"/>
  <c r="G40" i="42"/>
  <c r="D33" i="41" l="1"/>
  <c r="D34" i="41"/>
  <c r="D28" i="39"/>
  <c r="E27" i="39"/>
  <c r="D17" i="39"/>
  <c r="E16" i="39"/>
  <c r="C28" i="39"/>
  <c r="C17" i="39"/>
  <c r="E28" i="39" l="1"/>
  <c r="E17" i="39"/>
  <c r="D31" i="39" l="1"/>
  <c r="B32" i="41" l="1"/>
  <c r="C12" i="41"/>
  <c r="B12" i="41"/>
  <c r="B25" i="41" l="1"/>
  <c r="B16" i="41"/>
  <c r="C31" i="39"/>
  <c r="C10" i="39" s="1"/>
  <c r="C39" i="39" s="1"/>
  <c r="B31" i="39"/>
  <c r="B10" i="39" s="1"/>
  <c r="B39" i="39" s="1"/>
  <c r="C23" i="39"/>
  <c r="B23" i="39"/>
  <c r="B49" i="41" l="1"/>
  <c r="D43" i="41"/>
  <c r="C38" i="39"/>
  <c r="B41" i="41"/>
  <c r="B38" i="41" s="1"/>
  <c r="B60" i="41" s="1"/>
  <c r="B61" i="41" s="1"/>
  <c r="B62" i="41" s="1"/>
  <c r="B11" i="41"/>
  <c r="B9" i="41" s="1"/>
  <c r="B38" i="39"/>
  <c r="C8" i="39"/>
  <c r="C11" i="39"/>
  <c r="B8" i="39"/>
  <c r="B11" i="39"/>
  <c r="B51" i="41" l="1"/>
  <c r="E41" i="39"/>
  <c r="B8" i="41"/>
  <c r="C37" i="39"/>
  <c r="B37" i="39"/>
  <c r="C41" i="41" l="1"/>
  <c r="C28" i="41" l="1"/>
  <c r="C27" i="41"/>
  <c r="C26" i="41"/>
  <c r="D13" i="41" l="1"/>
  <c r="D14" i="41" l="1"/>
  <c r="C38" i="41" l="1"/>
  <c r="C16" i="41"/>
  <c r="C11" i="41" l="1"/>
  <c r="C51" i="41" s="1"/>
  <c r="D49" i="41"/>
  <c r="C50" i="41"/>
  <c r="C9" i="41" l="1"/>
  <c r="C8" i="41" s="1"/>
  <c r="D17" i="41" l="1"/>
  <c r="D18" i="41"/>
  <c r="D19" i="41"/>
  <c r="D20" i="41"/>
  <c r="D21" i="41"/>
  <c r="D22" i="41"/>
  <c r="D23" i="41"/>
  <c r="D24" i="41"/>
  <c r="D25" i="41"/>
  <c r="D27" i="41"/>
  <c r="D28" i="41"/>
  <c r="D29" i="41"/>
  <c r="D30" i="41"/>
  <c r="D31" i="41"/>
  <c r="D32" i="41"/>
  <c r="D35" i="41"/>
  <c r="D36" i="41"/>
  <c r="D39" i="41"/>
  <c r="D40" i="41"/>
  <c r="D41" i="41"/>
  <c r="D42" i="41"/>
  <c r="D26" i="41"/>
  <c r="E9" i="39"/>
  <c r="E12" i="39"/>
  <c r="E13" i="39"/>
  <c r="E14" i="39"/>
  <c r="E15" i="39"/>
  <c r="E18" i="39"/>
  <c r="E19" i="39"/>
  <c r="E20" i="39"/>
  <c r="E21" i="39"/>
  <c r="E22" i="39"/>
  <c r="E24" i="39"/>
  <c r="E25" i="39"/>
  <c r="E26" i="39"/>
  <c r="E29" i="39"/>
  <c r="E30" i="39"/>
  <c r="E32" i="39"/>
  <c r="E33" i="39"/>
  <c r="E34" i="39"/>
  <c r="E35" i="39"/>
  <c r="E36" i="39"/>
  <c r="E40" i="39"/>
  <c r="E42" i="39"/>
  <c r="D23" i="39"/>
  <c r="D10" i="39" l="1"/>
  <c r="D39" i="39" s="1"/>
  <c r="D38" i="39" l="1"/>
  <c r="D8" i="39"/>
  <c r="D11" i="39"/>
  <c r="D37" i="39" l="1"/>
  <c r="D15" i="41" l="1"/>
  <c r="E43" i="39" l="1"/>
  <c r="D38" i="41" l="1"/>
  <c r="D16" i="41" l="1"/>
  <c r="B50" i="41"/>
  <c r="D50" i="41" s="1"/>
  <c r="D12" i="41"/>
  <c r="D10" i="41"/>
  <c r="D51" i="41" l="1"/>
  <c r="D11" i="41"/>
  <c r="D9" i="41" l="1"/>
  <c r="D8" i="41" l="1"/>
  <c r="E31" i="39" l="1"/>
  <c r="E23" i="39"/>
  <c r="E10" i="39" l="1"/>
  <c r="E39" i="39" l="1"/>
  <c r="E11" i="39"/>
  <c r="E38" i="39" l="1"/>
  <c r="E37" i="39" l="1"/>
  <c r="E8" i="39" l="1"/>
</calcChain>
</file>

<file path=xl/comments1.xml><?xml version="1.0" encoding="utf-8"?>
<comments xmlns="http://schemas.openxmlformats.org/spreadsheetml/2006/main">
  <authors>
    <author>Author</author>
  </authors>
  <commentList>
    <comment ref="C38" authorId="0" shapeId="0">
      <text>
        <r>
          <rPr>
            <b/>
            <sz val="9"/>
            <color indexed="81"/>
            <rFont val="Tahoma"/>
            <family val="2"/>
          </rPr>
          <t xml:space="preserve">Trừ 10% tiết kiệm chi TX 194,748trđ; 50% tăng thu dự toán 2024: 192,15trđ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<sst xmlns="http://schemas.openxmlformats.org/spreadsheetml/2006/main" count="300" uniqueCount="127">
  <si>
    <t>ĐVT: triệu đồng</t>
  </si>
  <si>
    <t>NỘI DUNG</t>
  </si>
  <si>
    <t>TW</t>
  </si>
  <si>
    <t>ĐP</t>
  </si>
  <si>
    <t xml:space="preserve">  5. Lệ phí trước bạ</t>
  </si>
  <si>
    <t xml:space="preserve">  6.Thuế SD đất phi nông nghiệp</t>
  </si>
  <si>
    <t xml:space="preserve">  7.Thuế thu nhập cá nhân</t>
  </si>
  <si>
    <t xml:space="preserve">     - NSTW hưởng 100%</t>
  </si>
  <si>
    <t xml:space="preserve">     - Phân chia NSTW và NSĐP</t>
  </si>
  <si>
    <t xml:space="preserve">  9.Thu phí và lệ phí</t>
  </si>
  <si>
    <t xml:space="preserve">     Trong đó: Phí và lệ phí trung ương</t>
  </si>
  <si>
    <t>10.Thu tiền sử dụng đất</t>
  </si>
  <si>
    <t>11.Thu tiền cho thuê mặt đất mặt nước</t>
  </si>
  <si>
    <t xml:space="preserve">      + TW hưởng</t>
  </si>
  <si>
    <t xml:space="preserve">      + ĐP hưởng</t>
  </si>
  <si>
    <t xml:space="preserve"> I/- CHI ĐẦU TƯ PHÁT TRIỂN</t>
  </si>
  <si>
    <t>II/- CHI THƯỜNG XUYÊN</t>
  </si>
  <si>
    <t xml:space="preserve">     - Chi SN nông, lâm, thủy lợi</t>
  </si>
  <si>
    <t xml:space="preserve">     - Chi SN giao thông</t>
  </si>
  <si>
    <t xml:space="preserve">   a- Chi SN giáo dục và đào tạo </t>
  </si>
  <si>
    <t xml:space="preserve">   b- Chi SN y tế </t>
  </si>
  <si>
    <t xml:space="preserve">   f- Chi SN thể dục - thể thao</t>
  </si>
  <si>
    <t xml:space="preserve">   g- Chi đảm bảo xã hội </t>
  </si>
  <si>
    <t xml:space="preserve">   h- Chi sự nghiệp văn xã khác </t>
  </si>
  <si>
    <t>I.THU TỪ HOẠT ĐỘNG XUẤT NHẬP KHẨU</t>
  </si>
  <si>
    <t>II. THU NỘI ĐỊA</t>
  </si>
  <si>
    <t xml:space="preserve">  Không kể tiền sử dụng đất, xổ số kiến thiết</t>
  </si>
  <si>
    <t xml:space="preserve">  1) Chi sự nghiệp kinh tế </t>
  </si>
  <si>
    <t xml:space="preserve">   2) Chi sự nghiệp văn xã</t>
  </si>
  <si>
    <t xml:space="preserve">   3) Chi quản lý hành chính</t>
  </si>
  <si>
    <t xml:space="preserve">   4) Chi an ninh, quốc phòng địa phương </t>
  </si>
  <si>
    <t xml:space="preserve">   5) Chi sự nghiệp hoạt động môi trường </t>
  </si>
  <si>
    <t>V/- DỰ PHÒNG</t>
  </si>
  <si>
    <t>DTĐP
 NĂM</t>
  </si>
  <si>
    <t>CÙNG
KỲ</t>
  </si>
  <si>
    <t>CÙNG 
KỲ</t>
  </si>
  <si>
    <t xml:space="preserve">     - Chi SN kinh tế khác </t>
  </si>
  <si>
    <t>THU NGÂN SÁCH ĐỊA PHƯƠNG</t>
  </si>
  <si>
    <t>A. CHI CÂN ĐỐI NGÂN SÁCH ĐỊA PHƯƠNG</t>
  </si>
  <si>
    <t xml:space="preserve">   a) Vốn đầu tư tập trung được phân bổ</t>
  </si>
  <si>
    <t xml:space="preserve">   b) Nguồn thu tiền sử dụng đất</t>
  </si>
  <si>
    <t xml:space="preserve">   c) Nguồn Xổ số kiến thiết</t>
  </si>
  <si>
    <t xml:space="preserve">   d) Nguồn bội chi (vốn vay)</t>
  </si>
  <si>
    <t xml:space="preserve">   c- Chi SN khoa học và công nghệ</t>
  </si>
  <si>
    <t xml:space="preserve">   d- Chi SN văn hóa</t>
  </si>
  <si>
    <t xml:space="preserve">   e- Chi SN phát thanh - truyền hình - TTTT</t>
  </si>
  <si>
    <t xml:space="preserve">     - Chi quản lý Nhà nước</t>
  </si>
  <si>
    <t xml:space="preserve">     - Chi khối  Đảng</t>
  </si>
  <si>
    <t xml:space="preserve">     - Chi hổ trợ hội, đoàn thể</t>
  </si>
  <si>
    <t xml:space="preserve">     - Chi QLHC khác</t>
  </si>
  <si>
    <t xml:space="preserve">   6) Chi khác ngân sách</t>
  </si>
  <si>
    <t>B. CHI NSĐP TỪ NGUỒN BSMT</t>
  </si>
  <si>
    <t>I/ Chi đầu tư phát triển</t>
  </si>
  <si>
    <t xml:space="preserve"> - Vốn ngoài nước</t>
  </si>
  <si>
    <t xml:space="preserve"> - Vốn trong nước</t>
  </si>
  <si>
    <t>II/ Chi thường xuyên</t>
  </si>
  <si>
    <t>TỔNG CHI NSĐP (A+B)</t>
  </si>
  <si>
    <t>IV/- CHI BỔ SUNG QUỸ DỰ TRỮ TÀI CHÍNH</t>
  </si>
  <si>
    <t>I. Thu cân đối ngân sách địa phương (gồm TL, thu vay)</t>
  </si>
  <si>
    <t xml:space="preserve">    1. Thu NSĐP được hưởng theo phân cấp</t>
  </si>
  <si>
    <t xml:space="preserve">    4. Thu vay (Bội chi NSĐP)</t>
  </si>
  <si>
    <t>II. Thu bổ sung có mục tiêu từ ngân sách TW</t>
  </si>
  <si>
    <t xml:space="preserve">    7) Chi Đối ứng 03 CTMT QG</t>
  </si>
  <si>
    <t>TB</t>
  </si>
  <si>
    <t>AP</t>
  </si>
  <si>
    <t>Cấp xã</t>
  </si>
  <si>
    <t xml:space="preserve">  1.Thu từ KV DN do NN giữ vai trò chủ đạo TW quản lý</t>
  </si>
  <si>
    <t xml:space="preserve">  2.Thu từ KV DN do NN giữ vai trò chủ đạo ĐP quản lý</t>
  </si>
  <si>
    <t>TỔNG THU NSNN TRÊN ĐỊA BÀN (I+II)</t>
  </si>
  <si>
    <t xml:space="preserve">  3.Thu từ KV doanh nghiệp có vốn ĐTNN</t>
  </si>
  <si>
    <t xml:space="preserve">  4.Thu từ KV kinh tế ngoài quốc doanh</t>
  </si>
  <si>
    <t xml:space="preserve">  8.Thuế Bảo vệ môi trường thu từ hàng hóa trong nước</t>
  </si>
  <si>
    <t>12. Thu Quỹ đất công ích và hoa lợi công sản khác</t>
  </si>
  <si>
    <t>13.Thu khác ngân sách</t>
  </si>
  <si>
    <t>14. Thu cấp quyền khai thác khoáng sản, tài nguyên</t>
  </si>
  <si>
    <t>15.Thu hồi vốn, thu cổ tức, lợi nhuận sau thuế</t>
  </si>
  <si>
    <t>16. Thu từ hoạt động xổ số kiến thiết</t>
  </si>
  <si>
    <t>III/- CHI TRẢ NỢ LÃI CÁC KHOẢN DO CHÍNH
 QUYỀN ĐỊA PHƯƠNG VAY</t>
  </si>
  <si>
    <t xml:space="preserve">    3. Nguồn thực hiện CCTL </t>
  </si>
  <si>
    <t xml:space="preserve"> - Vốn đầu tư</t>
  </si>
  <si>
    <t xml:space="preserve"> - Vốn thường xuyên</t>
  </si>
  <si>
    <t>VI/- CHI TẠO NGUỒN,  ĐIỀU CHỈNH TIỀN LƯƠNG</t>
  </si>
  <si>
    <t>III/ KP thực hiện 3 Chương trình MTQG</t>
  </si>
  <si>
    <t>DỰ TOÁN 2024</t>
  </si>
  <si>
    <t>Dự toán HĐND tỉnh giao năm 2024</t>
  </si>
  <si>
    <t xml:space="preserve">    - Cấp tỉnh quản lý</t>
  </si>
  <si>
    <t xml:space="preserve">    - Cấp huyện quản lý</t>
  </si>
  <si>
    <t xml:space="preserve">    - Cấp tỉnh</t>
  </si>
  <si>
    <t xml:space="preserve">    - Cấp huyện</t>
  </si>
  <si>
    <t xml:space="preserve">    2. Thu bổ sung cân đối từ ngân sách cấp trên</t>
  </si>
  <si>
    <t>% TH so</t>
  </si>
  <si>
    <t xml:space="preserve">%TH so </t>
  </si>
  <si>
    <t>TỔNG</t>
  </si>
  <si>
    <t>TỈNH</t>
  </si>
  <si>
    <t>HUYỆN</t>
  </si>
  <si>
    <t>LONG XUYÊN</t>
  </si>
  <si>
    <t>CHÂU ĐỐC</t>
  </si>
  <si>
    <t>TÂN CHÂU</t>
  </si>
  <si>
    <t>CHỢ MỚI</t>
  </si>
  <si>
    <t>PHÚ TÂN</t>
  </si>
  <si>
    <t>CHÂU PHÚ</t>
  </si>
  <si>
    <t>CHÂU THÀNH</t>
  </si>
  <si>
    <t>THOẠI SƠN</t>
  </si>
  <si>
    <t>TRI TÔN</t>
  </si>
  <si>
    <t>TỊNH BIÊN</t>
  </si>
  <si>
    <t>AN PHÚ</t>
  </si>
  <si>
    <t>DT</t>
  </si>
  <si>
    <t>%</t>
  </si>
  <si>
    <t>TỔNG THU NSNN TỪ KINH TẾ ĐỊA BÀN (I+II)</t>
  </si>
  <si>
    <t xml:space="preserve">     - Phí và lệ phí tỉnh</t>
  </si>
  <si>
    <t xml:space="preserve">     - Phí và lệ phí huyện</t>
  </si>
  <si>
    <t xml:space="preserve">     - Phí và lệ phí xã (đò, chợ, khác)</t>
  </si>
  <si>
    <t xml:space="preserve">    Trong đó: NS tỉnh hưởng</t>
  </si>
  <si>
    <t xml:space="preserve">  Thu cân đối ngân sách (không bao gồm bội chi)</t>
  </si>
  <si>
    <t>Số thu cân đối NSĐP không bao gồm đất, XSKT</t>
  </si>
  <si>
    <t xml:space="preserve">      - Thu ngân sách địa phương hưởng 100%</t>
  </si>
  <si>
    <t xml:space="preserve">      - Thu phân chia giữa các cấp ngân sách</t>
  </si>
  <si>
    <t xml:space="preserve">   6) Chi ngân sách xã</t>
  </si>
  <si>
    <t xml:space="preserve">   7) Chi khác ngân sách</t>
  </si>
  <si>
    <t>III/- CHI TRẢ NỢ LÃI CÁC KHOẢN DO
 CHÍNH QUYỀN ĐỊA PHƯƠNG VAY</t>
  </si>
  <si>
    <t>III. Chương trình MTQG</t>
  </si>
  <si>
    <t>6=5/3</t>
  </si>
  <si>
    <t>5=3/2</t>
  </si>
  <si>
    <t xml:space="preserve"> THỰC HIỆN THU NGÂN SÁCH NHÀ NƯỚC QUÝ I NĂM 2024</t>
  </si>
  <si>
    <t>THỰC HIỆN CHI NGÂN SÁCH ĐỊA PHƯƠNG QUÝ I NĂM 2024</t>
  </si>
  <si>
    <t>THỰC HIỆN THU NGÂN SÁCH NHÀ NƯỚC QUÝ I NĂM 2024</t>
  </si>
  <si>
    <t>Thực hiện quý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</si>
</sst>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7" formatCode="0.0000"/>
    <numFmt numFmtId="168" formatCode="_(* #,##0.00000_);_(* \(#,##0.000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VNI-Times"/>
    </font>
    <font>
      <sz val="10"/>
      <name val="Arial"/>
      <family val="2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indexed="9"/>
        <bgColor theme="0"/>
      </patternFill>
    </fill>
    <fill>
      <patternFill patternType="solid">
        <fgColor theme="0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</cellStyleXfs>
  <cellXfs count="194">
    <xf numFmtId="0" fontId="0" fillId="0" borderId="0" xfId="0"/>
    <xf numFmtId="0" fontId="10" fillId="2" borderId="8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/>
    </xf>
    <xf numFmtId="164" fontId="10" fillId="0" borderId="6" xfId="3" applyNumberFormat="1" applyFont="1" applyFill="1" applyBorder="1" applyAlignment="1">
      <alignment horizontal="right"/>
    </xf>
    <xf numFmtId="164" fontId="9" fillId="0" borderId="6" xfId="4" applyNumberFormat="1" applyFont="1" applyFill="1" applyBorder="1"/>
    <xf numFmtId="164" fontId="9" fillId="0" borderId="6" xfId="0" applyNumberFormat="1" applyFont="1" applyFill="1" applyBorder="1" applyProtection="1">
      <protection hidden="1"/>
    </xf>
    <xf numFmtId="164" fontId="11" fillId="0" borderId="6" xfId="0" applyNumberFormat="1" applyFont="1" applyFill="1" applyBorder="1" applyProtection="1">
      <protection hidden="1"/>
    </xf>
    <xf numFmtId="164" fontId="10" fillId="0" borderId="6" xfId="0" applyNumberFormat="1" applyFont="1" applyFill="1" applyBorder="1" applyProtection="1">
      <protection hidden="1"/>
    </xf>
    <xf numFmtId="43" fontId="9" fillId="0" borderId="6" xfId="4" applyFont="1" applyFill="1" applyBorder="1"/>
    <xf numFmtId="164" fontId="10" fillId="0" borderId="6" xfId="1" applyNumberFormat="1" applyFont="1" applyFill="1" applyBorder="1"/>
    <xf numFmtId="43" fontId="10" fillId="0" borderId="6" xfId="4" applyFont="1" applyFill="1" applyBorder="1"/>
    <xf numFmtId="43" fontId="21" fillId="0" borderId="6" xfId="4" applyFont="1" applyFill="1" applyBorder="1"/>
    <xf numFmtId="164" fontId="10" fillId="0" borderId="5" xfId="1" applyNumberFormat="1" applyFont="1" applyFill="1" applyBorder="1"/>
    <xf numFmtId="43" fontId="10" fillId="0" borderId="5" xfId="4" applyFont="1" applyFill="1" applyBorder="1"/>
    <xf numFmtId="43" fontId="10" fillId="0" borderId="6" xfId="3" applyNumberFormat="1" applyFont="1" applyFill="1" applyBorder="1" applyAlignment="1">
      <alignment horizontal="right"/>
    </xf>
    <xf numFmtId="0" fontId="10" fillId="0" borderId="0" xfId="0" applyFont="1" applyFill="1"/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/>
    <xf numFmtId="3" fontId="7" fillId="2" borderId="1" xfId="0" applyNumberFormat="1" applyFont="1" applyFill="1" applyBorder="1" applyAlignment="1"/>
    <xf numFmtId="164" fontId="7" fillId="2" borderId="0" xfId="0" applyNumberFormat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6" fillId="2" borderId="3" xfId="1" applyNumberFormat="1" applyFont="1" applyFill="1" applyBorder="1" applyAlignment="1">
      <alignment horizontal="center"/>
    </xf>
    <xf numFmtId="164" fontId="6" fillId="2" borderId="3" xfId="1" applyNumberFormat="1" applyFont="1" applyFill="1" applyBorder="1"/>
    <xf numFmtId="43" fontId="6" fillId="2" borderId="3" xfId="0" applyNumberFormat="1" applyFont="1" applyFill="1" applyBorder="1"/>
    <xf numFmtId="0" fontId="6" fillId="2" borderId="6" xfId="1" applyFont="1" applyFill="1" applyBorder="1"/>
    <xf numFmtId="164" fontId="6" fillId="2" borderId="6" xfId="1" applyNumberFormat="1" applyFont="1" applyFill="1" applyBorder="1"/>
    <xf numFmtId="43" fontId="6" fillId="2" borderId="6" xfId="0" applyNumberFormat="1" applyFont="1" applyFill="1" applyBorder="1"/>
    <xf numFmtId="3" fontId="6" fillId="2" borderId="6" xfId="1" applyNumberFormat="1" applyFont="1" applyFill="1" applyBorder="1"/>
    <xf numFmtId="3" fontId="5" fillId="2" borderId="6" xfId="1" applyNumberFormat="1" applyFont="1" applyFill="1" applyBorder="1"/>
    <xf numFmtId="164" fontId="5" fillId="2" borderId="6" xfId="0" applyNumberFormat="1" applyFont="1" applyFill="1" applyBorder="1" applyProtection="1">
      <protection hidden="1"/>
    </xf>
    <xf numFmtId="43" fontId="5" fillId="2" borderId="6" xfId="0" applyNumberFormat="1" applyFont="1" applyFill="1" applyBorder="1"/>
    <xf numFmtId="164" fontId="5" fillId="2" borderId="6" xfId="0" applyNumberFormat="1" applyFont="1" applyFill="1" applyBorder="1"/>
    <xf numFmtId="164" fontId="5" fillId="2" borderId="6" xfId="1" applyNumberFormat="1" applyFont="1" applyFill="1" applyBorder="1"/>
    <xf numFmtId="3" fontId="7" fillId="2" borderId="6" xfId="1" applyNumberFormat="1" applyFont="1" applyFill="1" applyBorder="1"/>
    <xf numFmtId="164" fontId="7" fillId="2" borderId="6" xfId="0" applyNumberFormat="1" applyFont="1" applyFill="1" applyBorder="1" applyProtection="1">
      <protection hidden="1"/>
    </xf>
    <xf numFmtId="43" fontId="7" fillId="2" borderId="6" xfId="0" applyNumberFormat="1" applyFont="1" applyFill="1" applyBorder="1"/>
    <xf numFmtId="0" fontId="7" fillId="2" borderId="0" xfId="0" applyFont="1" applyFill="1"/>
    <xf numFmtId="0" fontId="6" fillId="2" borderId="6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left"/>
    </xf>
    <xf numFmtId="0" fontId="5" fillId="2" borderId="6" xfId="1" applyFont="1" applyFill="1" applyBorder="1"/>
    <xf numFmtId="0" fontId="6" fillId="2" borderId="0" xfId="0" applyFont="1" applyFill="1"/>
    <xf numFmtId="164" fontId="5" fillId="2" borderId="6" xfId="4" applyNumberFormat="1" applyFont="1" applyFill="1" applyBorder="1"/>
    <xf numFmtId="164" fontId="5" fillId="2" borderId="6" xfId="0" applyNumberFormat="1" applyFont="1" applyFill="1" applyBorder="1" applyAlignment="1"/>
    <xf numFmtId="0" fontId="5" fillId="2" borderId="6" xfId="0" applyFont="1" applyFill="1" applyBorder="1"/>
    <xf numFmtId="0" fontId="6" fillId="2" borderId="5" xfId="1" applyFont="1" applyFill="1" applyBorder="1"/>
    <xf numFmtId="164" fontId="6" fillId="2" borderId="5" xfId="4" applyNumberFormat="1" applyFont="1" applyFill="1" applyBorder="1"/>
    <xf numFmtId="43" fontId="6" fillId="2" borderId="5" xfId="0" applyNumberFormat="1" applyFont="1" applyFill="1" applyBorder="1"/>
    <xf numFmtId="0" fontId="6" fillId="2" borderId="5" xfId="0" applyFont="1" applyFill="1" applyBorder="1"/>
    <xf numFmtId="0" fontId="5" fillId="2" borderId="5" xfId="0" applyFont="1" applyFill="1" applyBorder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10" fillId="3" borderId="0" xfId="0" applyFont="1" applyFill="1" applyBorder="1" applyAlignment="1"/>
    <xf numFmtId="3" fontId="10" fillId="3" borderId="0" xfId="0" applyNumberFormat="1" applyFont="1" applyFill="1" applyBorder="1" applyAlignment="1">
      <alignment horizontal="center"/>
    </xf>
    <xf numFmtId="164" fontId="11" fillId="2" borderId="0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3" xfId="2" applyFont="1" applyFill="1" applyBorder="1" applyAlignment="1">
      <alignment horizontal="center" vertical="center"/>
    </xf>
    <xf numFmtId="164" fontId="10" fillId="2" borderId="3" xfId="2" applyNumberFormat="1" applyFont="1" applyFill="1" applyBorder="1" applyAlignment="1">
      <alignment vertical="center"/>
    </xf>
    <xf numFmtId="43" fontId="10" fillId="2" borderId="3" xfId="3" applyNumberFormat="1" applyFont="1" applyFill="1" applyBorder="1" applyAlignment="1">
      <alignment horizontal="right"/>
    </xf>
    <xf numFmtId="0" fontId="10" fillId="2" borderId="6" xfId="2" applyFont="1" applyFill="1" applyBorder="1" applyAlignment="1">
      <alignment horizontal="center" vertical="center"/>
    </xf>
    <xf numFmtId="164" fontId="10" fillId="2" borderId="6" xfId="2" applyNumberFormat="1" applyFont="1" applyFill="1" applyBorder="1" applyAlignment="1">
      <alignment vertical="center"/>
    </xf>
    <xf numFmtId="43" fontId="10" fillId="2" borderId="6" xfId="3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6" xfId="3" applyFont="1" applyFill="1" applyBorder="1" applyAlignment="1">
      <alignment horizontal="left"/>
    </xf>
    <xf numFmtId="164" fontId="10" fillId="2" borderId="6" xfId="3" applyNumberFormat="1" applyFont="1" applyFill="1" applyBorder="1" applyAlignment="1">
      <alignment horizontal="right"/>
    </xf>
    <xf numFmtId="164" fontId="9" fillId="2" borderId="6" xfId="3" applyNumberFormat="1" applyFont="1" applyFill="1" applyBorder="1" applyAlignment="1">
      <alignment horizontal="right"/>
    </xf>
    <xf numFmtId="43" fontId="9" fillId="2" borderId="6" xfId="3" applyNumberFormat="1" applyFont="1" applyFill="1" applyBorder="1" applyAlignment="1">
      <alignment horizontal="right"/>
    </xf>
    <xf numFmtId="0" fontId="10" fillId="2" borderId="6" xfId="3" applyNumberFormat="1" applyFont="1" applyFill="1" applyBorder="1" applyAlignment="1">
      <alignment horizontal="left"/>
    </xf>
    <xf numFmtId="0" fontId="10" fillId="2" borderId="6" xfId="3" applyNumberFormat="1" applyFont="1" applyFill="1" applyBorder="1"/>
    <xf numFmtId="0" fontId="9" fillId="2" borderId="6" xfId="3" applyNumberFormat="1" applyFont="1" applyFill="1" applyBorder="1"/>
    <xf numFmtId="164" fontId="9" fillId="2" borderId="0" xfId="0" applyNumberFormat="1" applyFont="1" applyFill="1"/>
    <xf numFmtId="0" fontId="9" fillId="4" borderId="6" xfId="3" applyNumberFormat="1" applyFont="1" applyFill="1" applyBorder="1"/>
    <xf numFmtId="43" fontId="14" fillId="2" borderId="6" xfId="3" applyNumberFormat="1" applyFont="1" applyFill="1" applyBorder="1" applyAlignment="1">
      <alignment horizontal="right"/>
    </xf>
    <xf numFmtId="3" fontId="10" fillId="2" borderId="6" xfId="0" applyNumberFormat="1" applyFont="1" applyFill="1" applyBorder="1"/>
    <xf numFmtId="0" fontId="10" fillId="2" borderId="6" xfId="3" applyNumberFormat="1" applyFont="1" applyFill="1" applyBorder="1" applyAlignment="1">
      <alignment wrapText="1"/>
    </xf>
    <xf numFmtId="164" fontId="10" fillId="2" borderId="6" xfId="4" applyNumberFormat="1" applyFont="1" applyFill="1" applyBorder="1"/>
    <xf numFmtId="164" fontId="9" fillId="2" borderId="6" xfId="4" applyNumberFormat="1" applyFont="1" applyFill="1" applyBorder="1"/>
    <xf numFmtId="0" fontId="10" fillId="2" borderId="6" xfId="3" applyFont="1" applyFill="1" applyBorder="1"/>
    <xf numFmtId="0" fontId="10" fillId="2" borderId="6" xfId="0" applyFont="1" applyFill="1" applyBorder="1" applyAlignment="1">
      <alignment horizontal="center"/>
    </xf>
    <xf numFmtId="0" fontId="9" fillId="2" borderId="6" xfId="0" applyFont="1" applyFill="1" applyBorder="1"/>
    <xf numFmtId="164" fontId="9" fillId="2" borderId="5" xfId="4" applyNumberFormat="1" applyFont="1" applyFill="1" applyBorder="1"/>
    <xf numFmtId="164" fontId="9" fillId="2" borderId="0" xfId="4" applyNumberFormat="1" applyFont="1" applyFill="1" applyBorder="1"/>
    <xf numFmtId="43" fontId="9" fillId="2" borderId="5" xfId="3" applyNumberFormat="1" applyFont="1" applyFill="1" applyBorder="1" applyAlignment="1">
      <alignment horizontal="right"/>
    </xf>
    <xf numFmtId="0" fontId="9" fillId="2" borderId="5" xfId="0" applyFont="1" applyFill="1" applyBorder="1"/>
    <xf numFmtId="0" fontId="5" fillId="2" borderId="0" xfId="0" applyFont="1" applyFill="1" applyBorder="1"/>
    <xf numFmtId="43" fontId="9" fillId="2" borderId="0" xfId="3" applyNumberFormat="1" applyFont="1" applyFill="1" applyBorder="1" applyAlignment="1">
      <alignment horizontal="right"/>
    </xf>
    <xf numFmtId="0" fontId="9" fillId="2" borderId="0" xfId="0" applyFont="1" applyFill="1" applyBorder="1"/>
    <xf numFmtId="43" fontId="9" fillId="2" borderId="0" xfId="4" applyFont="1" applyFill="1"/>
    <xf numFmtId="164" fontId="9" fillId="2" borderId="0" xfId="4" applyNumberFormat="1" applyFont="1" applyFill="1"/>
    <xf numFmtId="0" fontId="6" fillId="2" borderId="0" xfId="0" applyFont="1" applyFill="1" applyAlignment="1">
      <alignment horizontal="center"/>
    </xf>
    <xf numFmtId="0" fontId="6" fillId="2" borderId="2" xfId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/>
    <xf numFmtId="0" fontId="15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/>
    </xf>
    <xf numFmtId="167" fontId="16" fillId="0" borderId="0" xfId="0" applyNumberFormat="1" applyFont="1" applyFill="1"/>
    <xf numFmtId="164" fontId="0" fillId="0" borderId="0" xfId="4" applyNumberFormat="1" applyFont="1" applyFill="1"/>
    <xf numFmtId="164" fontId="11" fillId="0" borderId="1" xfId="0" applyNumberFormat="1" applyFont="1" applyFill="1" applyBorder="1" applyAlignment="1"/>
    <xf numFmtId="0" fontId="11" fillId="0" borderId="1" xfId="0" applyFont="1" applyFill="1" applyBorder="1" applyAlignment="1"/>
    <xf numFmtId="164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9" fillId="0" borderId="0" xfId="0" applyFont="1" applyFill="1"/>
    <xf numFmtId="0" fontId="10" fillId="0" borderId="2" xfId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43" fontId="10" fillId="0" borderId="3" xfId="0" applyNumberFormat="1" applyFont="1" applyFill="1" applyBorder="1"/>
    <xf numFmtId="43" fontId="10" fillId="0" borderId="6" xfId="0" applyNumberFormat="1" applyFont="1" applyFill="1" applyBorder="1"/>
    <xf numFmtId="43" fontId="17" fillId="0" borderId="6" xfId="0" applyNumberFormat="1" applyFont="1" applyFill="1" applyBorder="1"/>
    <xf numFmtId="0" fontId="18" fillId="0" borderId="0" xfId="0" applyFont="1" applyFill="1"/>
    <xf numFmtId="43" fontId="9" fillId="0" borderId="6" xfId="0" applyNumberFormat="1" applyFont="1" applyFill="1" applyBorder="1"/>
    <xf numFmtId="43" fontId="11" fillId="0" borderId="6" xfId="0" applyNumberFormat="1" applyFont="1" applyFill="1" applyBorder="1"/>
    <xf numFmtId="0" fontId="0" fillId="0" borderId="0" xfId="0" applyFont="1" applyFill="1"/>
    <xf numFmtId="0" fontId="19" fillId="0" borderId="0" xfId="0" applyFont="1" applyFill="1"/>
    <xf numFmtId="0" fontId="20" fillId="0" borderId="0" xfId="0" applyFont="1" applyFill="1"/>
    <xf numFmtId="0" fontId="21" fillId="0" borderId="0" xfId="0" applyFont="1" applyFill="1" applyAlignment="1"/>
    <xf numFmtId="3" fontId="10" fillId="0" borderId="0" xfId="0" applyNumberFormat="1" applyFont="1" applyFill="1" applyAlignment="1">
      <alignment horizontal="center"/>
    </xf>
    <xf numFmtId="164" fontId="0" fillId="0" borderId="0" xfId="0" applyNumberFormat="1" applyFont="1" applyFill="1"/>
    <xf numFmtId="0" fontId="10" fillId="0" borderId="2" xfId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3" fontId="10" fillId="0" borderId="3" xfId="1" applyNumberFormat="1" applyFont="1" applyFill="1" applyBorder="1" applyAlignment="1">
      <alignment horizontal="center"/>
    </xf>
    <xf numFmtId="164" fontId="10" fillId="0" borderId="3" xfId="1" applyNumberFormat="1" applyFont="1" applyFill="1" applyBorder="1"/>
    <xf numFmtId="43" fontId="10" fillId="0" borderId="3" xfId="4" applyFont="1" applyFill="1" applyBorder="1"/>
    <xf numFmtId="0" fontId="10" fillId="0" borderId="6" xfId="1" applyFont="1" applyFill="1" applyBorder="1"/>
    <xf numFmtId="3" fontId="10" fillId="0" borderId="6" xfId="1" applyNumberFormat="1" applyFont="1" applyFill="1" applyBorder="1"/>
    <xf numFmtId="3" fontId="17" fillId="0" borderId="6" xfId="1" applyNumberFormat="1" applyFont="1" applyFill="1" applyBorder="1"/>
    <xf numFmtId="164" fontId="17" fillId="0" borderId="6" xfId="1" applyNumberFormat="1" applyFont="1" applyFill="1" applyBorder="1"/>
    <xf numFmtId="43" fontId="17" fillId="0" borderId="6" xfId="4" applyFont="1" applyFill="1" applyBorder="1"/>
    <xf numFmtId="3" fontId="9" fillId="0" borderId="6" xfId="1" applyNumberFormat="1" applyFont="1" applyFill="1" applyBorder="1"/>
    <xf numFmtId="43" fontId="9" fillId="0" borderId="6" xfId="4" applyFont="1" applyFill="1" applyBorder="1" applyProtection="1">
      <protection hidden="1"/>
    </xf>
    <xf numFmtId="164" fontId="9" fillId="0" borderId="6" xfId="0" applyNumberFormat="1" applyFont="1" applyFill="1" applyBorder="1"/>
    <xf numFmtId="164" fontId="9" fillId="0" borderId="6" xfId="1" applyNumberFormat="1" applyFont="1" applyFill="1" applyBorder="1"/>
    <xf numFmtId="3" fontId="11" fillId="0" borderId="6" xfId="1" applyNumberFormat="1" applyFont="1" applyFill="1" applyBorder="1"/>
    <xf numFmtId="43" fontId="11" fillId="0" borderId="6" xfId="4" applyFont="1" applyFill="1" applyBorder="1" applyProtection="1">
      <protection hidden="1"/>
    </xf>
    <xf numFmtId="0" fontId="10" fillId="0" borderId="6" xfId="1" applyFont="1" applyFill="1" applyBorder="1" applyAlignment="1">
      <alignment horizontal="center"/>
    </xf>
    <xf numFmtId="43" fontId="10" fillId="0" borderId="6" xfId="4" applyFont="1" applyFill="1" applyBorder="1" applyProtection="1">
      <protection hidden="1"/>
    </xf>
    <xf numFmtId="0" fontId="10" fillId="0" borderId="6" xfId="1" applyFont="1" applyFill="1" applyBorder="1" applyAlignment="1">
      <alignment horizontal="left"/>
    </xf>
    <xf numFmtId="0" fontId="17" fillId="0" borderId="6" xfId="1" applyFont="1" applyFill="1" applyBorder="1" applyAlignment="1">
      <alignment horizontal="left"/>
    </xf>
    <xf numFmtId="164" fontId="17" fillId="0" borderId="6" xfId="0" applyNumberFormat="1" applyFont="1" applyFill="1" applyBorder="1" applyProtection="1">
      <protection hidden="1"/>
    </xf>
    <xf numFmtId="43" fontId="17" fillId="0" borderId="6" xfId="4" applyFont="1" applyFill="1" applyBorder="1" applyProtection="1">
      <protection hidden="1"/>
    </xf>
    <xf numFmtId="0" fontId="9" fillId="0" borderId="6" xfId="1" applyFont="1" applyFill="1" applyBorder="1"/>
    <xf numFmtId="0" fontId="10" fillId="0" borderId="5" xfId="1" applyFont="1" applyFill="1" applyBorder="1"/>
    <xf numFmtId="0" fontId="10" fillId="0" borderId="0" xfId="0" applyFont="1" applyFill="1" applyAlignment="1">
      <alignment horizontal="center"/>
    </xf>
    <xf numFmtId="164" fontId="10" fillId="0" borderId="0" xfId="4" applyNumberFormat="1" applyFont="1" applyFill="1" applyAlignment="1"/>
    <xf numFmtId="43" fontId="10" fillId="0" borderId="0" xfId="4" applyFont="1" applyFill="1" applyAlignment="1"/>
    <xf numFmtId="165" fontId="10" fillId="0" borderId="0" xfId="4" applyNumberFormat="1" applyFont="1" applyFill="1" applyAlignment="1"/>
    <xf numFmtId="165" fontId="9" fillId="0" borderId="0" xfId="4" applyNumberFormat="1" applyFont="1" applyFill="1"/>
    <xf numFmtId="164" fontId="9" fillId="0" borderId="0" xfId="4" applyNumberFormat="1" applyFont="1" applyFill="1"/>
    <xf numFmtId="165" fontId="10" fillId="0" borderId="0" xfId="0" applyNumberFormat="1" applyFont="1" applyFill="1" applyBorder="1" applyAlignment="1"/>
    <xf numFmtId="165" fontId="10" fillId="0" borderId="0" xfId="4" applyNumberFormat="1" applyFont="1" applyFill="1" applyBorder="1" applyAlignment="1">
      <alignment horizontal="center"/>
    </xf>
    <xf numFmtId="0" fontId="9" fillId="0" borderId="0" xfId="0" applyFont="1" applyFill="1" applyBorder="1"/>
    <xf numFmtId="168" fontId="9" fillId="0" borderId="0" xfId="4" applyNumberFormat="1" applyFont="1" applyFill="1"/>
    <xf numFmtId="164" fontId="9" fillId="0" borderId="0" xfId="0" applyNumberFormat="1" applyFont="1" applyFill="1"/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3" fontId="10" fillId="0" borderId="3" xfId="3" applyNumberFormat="1" applyFont="1" applyFill="1" applyBorder="1" applyAlignment="1">
      <alignment horizontal="right"/>
    </xf>
    <xf numFmtId="43" fontId="9" fillId="0" borderId="6" xfId="3" applyNumberFormat="1" applyFont="1" applyFill="1" applyBorder="1" applyAlignment="1">
      <alignment horizontal="right"/>
    </xf>
    <xf numFmtId="43" fontId="22" fillId="0" borderId="6" xfId="3" applyNumberFormat="1" applyFont="1" applyFill="1" applyBorder="1" applyAlignment="1">
      <alignment horizontal="right"/>
    </xf>
    <xf numFmtId="43" fontId="9" fillId="0" borderId="5" xfId="3" applyNumberFormat="1" applyFont="1" applyFill="1" applyBorder="1" applyAlignment="1">
      <alignment horizontal="right"/>
    </xf>
    <xf numFmtId="0" fontId="10" fillId="0" borderId="3" xfId="2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vertical="center"/>
    </xf>
    <xf numFmtId="0" fontId="10" fillId="0" borderId="6" xfId="2" applyFont="1" applyFill="1" applyBorder="1" applyAlignment="1">
      <alignment horizontal="center" vertical="center"/>
    </xf>
    <xf numFmtId="164" fontId="10" fillId="0" borderId="6" xfId="2" applyNumberFormat="1" applyFont="1" applyFill="1" applyBorder="1" applyAlignment="1">
      <alignment vertical="center"/>
    </xf>
    <xf numFmtId="0" fontId="10" fillId="0" borderId="6" xfId="3" applyFont="1" applyFill="1" applyBorder="1" applyAlignment="1">
      <alignment horizontal="left"/>
    </xf>
    <xf numFmtId="0" fontId="9" fillId="0" borderId="6" xfId="3" applyFont="1" applyFill="1" applyBorder="1" applyAlignment="1">
      <alignment horizontal="left"/>
    </xf>
    <xf numFmtId="164" fontId="9" fillId="0" borderId="6" xfId="3" applyNumberFormat="1" applyFont="1" applyFill="1" applyBorder="1" applyAlignment="1">
      <alignment horizontal="right"/>
    </xf>
    <xf numFmtId="0" fontId="10" fillId="0" borderId="6" xfId="3" applyNumberFormat="1" applyFont="1" applyFill="1" applyBorder="1" applyAlignment="1">
      <alignment horizontal="left"/>
    </xf>
    <xf numFmtId="0" fontId="10" fillId="0" borderId="6" xfId="3" applyNumberFormat="1" applyFont="1" applyFill="1" applyBorder="1"/>
    <xf numFmtId="0" fontId="9" fillId="0" borderId="6" xfId="3" applyNumberFormat="1" applyFont="1" applyFill="1" applyBorder="1"/>
    <xf numFmtId="0" fontId="10" fillId="0" borderId="6" xfId="3" applyNumberFormat="1" applyFont="1" applyFill="1" applyBorder="1" applyAlignment="1">
      <alignment wrapText="1"/>
    </xf>
    <xf numFmtId="0" fontId="10" fillId="0" borderId="6" xfId="3" applyFont="1" applyFill="1" applyBorder="1"/>
    <xf numFmtId="0" fontId="10" fillId="0" borderId="6" xfId="0" applyFont="1" applyFill="1" applyBorder="1" applyAlignment="1">
      <alignment horizontal="center"/>
    </xf>
    <xf numFmtId="164" fontId="10" fillId="0" borderId="6" xfId="4" applyNumberFormat="1" applyFont="1" applyFill="1" applyBorder="1"/>
    <xf numFmtId="0" fontId="9" fillId="0" borderId="6" xfId="0" applyFont="1" applyFill="1" applyBorder="1"/>
    <xf numFmtId="0" fontId="9" fillId="0" borderId="5" xfId="0" applyFont="1" applyFill="1" applyBorder="1"/>
    <xf numFmtId="164" fontId="9" fillId="0" borderId="5" xfId="4" applyNumberFormat="1" applyFont="1" applyFill="1" applyBorder="1"/>
  </cellXfs>
  <cellStyles count="5">
    <cellStyle name="Comma" xfId="4" builtinId="3"/>
    <cellStyle name="Normal" xfId="0" builtinId="0"/>
    <cellStyle name="Normal_Chi_2004(TT)" xfId="3"/>
    <cellStyle name="Normal_Chi-HDND" xfId="2"/>
    <cellStyle name="Normal_QT 2011" xfId="1"/>
  </cellStyles>
  <dxfs count="0"/>
  <tableStyles count="0" defaultTableStyle="TableStyleMedium9" defaultPivotStyle="PivotStyleLight16"/>
  <colors>
    <mruColors>
      <color rgb="FFFF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3"/>
  <sheetViews>
    <sheetView zoomScaleNormal="100" workbookViewId="0">
      <pane xSplit="1" ySplit="8" topLeftCell="B35" activePane="bottomRight" state="frozen"/>
      <selection pane="topRight" activeCell="B1" sqref="B1"/>
      <selection pane="bottomLeft" activeCell="A9" sqref="A9"/>
      <selection pane="bottomRight" activeCell="C48" sqref="C48"/>
    </sheetView>
  </sheetViews>
  <sheetFormatPr defaultRowHeight="15.75" x14ac:dyDescent="0.25"/>
  <cols>
    <col min="1" max="1" width="57.42578125" style="18" bestFit="1" customWidth="1"/>
    <col min="2" max="2" width="14" style="18" bestFit="1" customWidth="1"/>
    <col min="3" max="3" width="13.7109375" style="18" bestFit="1" customWidth="1"/>
    <col min="4" max="4" width="12.85546875" style="18" customWidth="1"/>
    <col min="5" max="6" width="10.42578125" style="18" customWidth="1"/>
    <col min="7" max="16384" width="9.140625" style="18"/>
  </cols>
  <sheetData>
    <row r="1" spans="1:6" x14ac:dyDescent="0.25">
      <c r="A1" s="96"/>
      <c r="B1" s="96"/>
      <c r="C1" s="96"/>
      <c r="D1" s="16"/>
      <c r="E1" s="17"/>
      <c r="F1" s="17"/>
    </row>
    <row r="2" spans="1:6" x14ac:dyDescent="0.25">
      <c r="A2" s="96" t="s">
        <v>123</v>
      </c>
      <c r="B2" s="96"/>
      <c r="C2" s="96"/>
      <c r="D2" s="96"/>
      <c r="E2" s="96"/>
      <c r="F2" s="96"/>
    </row>
    <row r="3" spans="1:6" x14ac:dyDescent="0.25">
      <c r="A3" s="96"/>
      <c r="B3" s="96"/>
      <c r="C3" s="96"/>
      <c r="D3" s="96"/>
      <c r="E3" s="96"/>
      <c r="F3" s="96"/>
    </row>
    <row r="4" spans="1:6" x14ac:dyDescent="0.25">
      <c r="A4" s="19"/>
      <c r="B4" s="20"/>
      <c r="C4" s="20"/>
      <c r="D4" s="21"/>
      <c r="E4" s="103" t="s">
        <v>0</v>
      </c>
      <c r="F4" s="103"/>
    </row>
    <row r="5" spans="1:6" ht="34.5" customHeight="1" x14ac:dyDescent="0.25">
      <c r="A5" s="97" t="s">
        <v>1</v>
      </c>
      <c r="B5" s="98" t="s">
        <v>83</v>
      </c>
      <c r="C5" s="99"/>
      <c r="D5" s="100" t="s">
        <v>126</v>
      </c>
      <c r="E5" s="102" t="s">
        <v>90</v>
      </c>
      <c r="F5" s="102"/>
    </row>
    <row r="6" spans="1:6" ht="34.5" customHeight="1" x14ac:dyDescent="0.25">
      <c r="A6" s="97"/>
      <c r="B6" s="22" t="s">
        <v>2</v>
      </c>
      <c r="C6" s="22" t="s">
        <v>3</v>
      </c>
      <c r="D6" s="101"/>
      <c r="E6" s="23" t="s">
        <v>33</v>
      </c>
      <c r="F6" s="23" t="s">
        <v>34</v>
      </c>
    </row>
    <row r="7" spans="1:6" x14ac:dyDescent="0.25">
      <c r="A7" s="24">
        <v>1</v>
      </c>
      <c r="B7" s="25">
        <v>2</v>
      </c>
      <c r="C7" s="25">
        <v>3</v>
      </c>
      <c r="D7" s="26">
        <v>5</v>
      </c>
      <c r="E7" s="26" t="s">
        <v>121</v>
      </c>
      <c r="F7" s="27">
        <v>7</v>
      </c>
    </row>
    <row r="8" spans="1:6" x14ac:dyDescent="0.25">
      <c r="A8" s="28" t="s">
        <v>68</v>
      </c>
      <c r="B8" s="29">
        <f>+B9+B10</f>
        <v>7197000</v>
      </c>
      <c r="C8" s="29">
        <f>+C9+C10</f>
        <v>7197000</v>
      </c>
      <c r="D8" s="29">
        <f>+D9+D10</f>
        <v>2754271.503</v>
      </c>
      <c r="E8" s="30">
        <f t="shared" ref="E8:E33" si="0">+D8/C8%</f>
        <v>38.269716590245935</v>
      </c>
      <c r="F8" s="30">
        <v>117.58853909300544</v>
      </c>
    </row>
    <row r="9" spans="1:6" x14ac:dyDescent="0.25">
      <c r="A9" s="31" t="s">
        <v>24</v>
      </c>
      <c r="B9" s="32">
        <v>330000</v>
      </c>
      <c r="C9" s="32">
        <v>330000</v>
      </c>
      <c r="D9" s="32">
        <v>179306.69500000001</v>
      </c>
      <c r="E9" s="33">
        <f t="shared" si="0"/>
        <v>54.335362121212121</v>
      </c>
      <c r="F9" s="33">
        <v>214.64567057891378</v>
      </c>
    </row>
    <row r="10" spans="1:6" x14ac:dyDescent="0.25">
      <c r="A10" s="34" t="s">
        <v>25</v>
      </c>
      <c r="B10" s="32">
        <f>+B12+B13+B14+B15+B18+B19+B20+B21+B24+B26+B29+B30+B31+B34+B35+B36</f>
        <v>6867000</v>
      </c>
      <c r="C10" s="32">
        <f>+C12+C13+C14+C15+C18+C19+C20+C21+C24+C26+C29+C30+C31+C34+C35+C36</f>
        <v>6867000</v>
      </c>
      <c r="D10" s="32">
        <f>+D12+D13+D14+D15+D18+D19+D20+D21+D24+D26+D29+D30+D31+D34+D35+D36</f>
        <v>2574964.8080000002</v>
      </c>
      <c r="E10" s="33">
        <f t="shared" si="0"/>
        <v>37.497667220037862</v>
      </c>
      <c r="F10" s="33">
        <v>113.9990570480076</v>
      </c>
    </row>
    <row r="11" spans="1:6" x14ac:dyDescent="0.25">
      <c r="A11" s="34" t="s">
        <v>26</v>
      </c>
      <c r="B11" s="32">
        <f>+B10-B26-B36</f>
        <v>4357000</v>
      </c>
      <c r="C11" s="32">
        <f>+C10-C26-C36</f>
        <v>4357000</v>
      </c>
      <c r="D11" s="32">
        <f>+D10-D26-D36</f>
        <v>1559904.8480000002</v>
      </c>
      <c r="E11" s="33">
        <f t="shared" si="0"/>
        <v>35.802268717007124</v>
      </c>
      <c r="F11" s="33">
        <v>98.332070555912694</v>
      </c>
    </row>
    <row r="12" spans="1:6" x14ac:dyDescent="0.25">
      <c r="A12" s="35" t="s">
        <v>66</v>
      </c>
      <c r="B12" s="36">
        <v>215000</v>
      </c>
      <c r="C12" s="36">
        <v>215000</v>
      </c>
      <c r="D12" s="36">
        <v>55306.012000000002</v>
      </c>
      <c r="E12" s="37">
        <f t="shared" si="0"/>
        <v>25.723726511627909</v>
      </c>
      <c r="F12" s="37">
        <v>101.70346181730584</v>
      </c>
    </row>
    <row r="13" spans="1:6" x14ac:dyDescent="0.25">
      <c r="A13" s="35" t="s">
        <v>67</v>
      </c>
      <c r="B13" s="38">
        <v>460000</v>
      </c>
      <c r="C13" s="38">
        <v>460000</v>
      </c>
      <c r="D13" s="38">
        <v>209519.321</v>
      </c>
      <c r="E13" s="37">
        <f t="shared" si="0"/>
        <v>45.54767847826087</v>
      </c>
      <c r="F13" s="37">
        <v>115.32416725603166</v>
      </c>
    </row>
    <row r="14" spans="1:6" x14ac:dyDescent="0.25">
      <c r="A14" s="35" t="s">
        <v>69</v>
      </c>
      <c r="B14" s="39">
        <v>75000</v>
      </c>
      <c r="C14" s="39">
        <v>75000</v>
      </c>
      <c r="D14" s="39">
        <v>34541.279999999999</v>
      </c>
      <c r="E14" s="37">
        <f t="shared" si="0"/>
        <v>46.055039999999998</v>
      </c>
      <c r="F14" s="37">
        <v>84.783459679079741</v>
      </c>
    </row>
    <row r="15" spans="1:6" x14ac:dyDescent="0.25">
      <c r="A15" s="35" t="s">
        <v>70</v>
      </c>
      <c r="B15" s="38">
        <v>1350000</v>
      </c>
      <c r="C15" s="38">
        <v>1350000</v>
      </c>
      <c r="D15" s="38">
        <v>572599.29299999995</v>
      </c>
      <c r="E15" s="37">
        <f t="shared" si="0"/>
        <v>42.414762444444442</v>
      </c>
      <c r="F15" s="37">
        <v>80.568738919797212</v>
      </c>
    </row>
    <row r="16" spans="1:6" x14ac:dyDescent="0.25">
      <c r="A16" s="35" t="s">
        <v>85</v>
      </c>
      <c r="B16" s="38"/>
      <c r="C16" s="38">
        <v>664000</v>
      </c>
      <c r="D16" s="38">
        <v>227523.59</v>
      </c>
      <c r="E16" s="37">
        <f t="shared" si="0"/>
        <v>34.265600903614455</v>
      </c>
      <c r="F16" s="37">
        <v>58.400549888765539</v>
      </c>
    </row>
    <row r="17" spans="1:6" x14ac:dyDescent="0.25">
      <c r="A17" s="35" t="s">
        <v>86</v>
      </c>
      <c r="B17" s="38"/>
      <c r="C17" s="38">
        <f>+C15-C16</f>
        <v>686000</v>
      </c>
      <c r="D17" s="38">
        <f>+D15-D16</f>
        <v>345075.70299999998</v>
      </c>
      <c r="E17" s="37">
        <f t="shared" si="0"/>
        <v>50.302580612244896</v>
      </c>
      <c r="F17" s="37">
        <v>107.4650380965937</v>
      </c>
    </row>
    <row r="18" spans="1:6" x14ac:dyDescent="0.25">
      <c r="A18" s="35" t="s">
        <v>4</v>
      </c>
      <c r="B18" s="36">
        <v>355000</v>
      </c>
      <c r="C18" s="36">
        <v>355000</v>
      </c>
      <c r="D18" s="36">
        <v>74600.911999999997</v>
      </c>
      <c r="E18" s="37">
        <f t="shared" si="0"/>
        <v>21.014341408450704</v>
      </c>
      <c r="F18" s="37">
        <v>85.004699186917207</v>
      </c>
    </row>
    <row r="19" spans="1:6" x14ac:dyDescent="0.25">
      <c r="A19" s="35" t="s">
        <v>5</v>
      </c>
      <c r="B19" s="36">
        <v>17000</v>
      </c>
      <c r="C19" s="36">
        <v>17000</v>
      </c>
      <c r="D19" s="36">
        <v>4579.5450000000001</v>
      </c>
      <c r="E19" s="37">
        <f t="shared" si="0"/>
        <v>26.938500000000001</v>
      </c>
      <c r="F19" s="37">
        <v>79.066825529657933</v>
      </c>
    </row>
    <row r="20" spans="1:6" x14ac:dyDescent="0.25">
      <c r="A20" s="35" t="s">
        <v>6</v>
      </c>
      <c r="B20" s="36">
        <v>720000</v>
      </c>
      <c r="C20" s="36">
        <v>720000</v>
      </c>
      <c r="D20" s="36">
        <v>230246.905</v>
      </c>
      <c r="E20" s="37">
        <f t="shared" si="0"/>
        <v>31.978736805555556</v>
      </c>
      <c r="F20" s="37">
        <v>100.49330107669599</v>
      </c>
    </row>
    <row r="21" spans="1:6" x14ac:dyDescent="0.25">
      <c r="A21" s="35" t="s">
        <v>71</v>
      </c>
      <c r="B21" s="36">
        <v>410000</v>
      </c>
      <c r="C21" s="36">
        <v>410000</v>
      </c>
      <c r="D21" s="36">
        <v>100699.33</v>
      </c>
      <c r="E21" s="37">
        <f t="shared" si="0"/>
        <v>24.560812195121951</v>
      </c>
      <c r="F21" s="37">
        <v>118.90997956340689</v>
      </c>
    </row>
    <row r="22" spans="1:6" s="43" customFormat="1" x14ac:dyDescent="0.25">
      <c r="A22" s="40" t="s">
        <v>7</v>
      </c>
      <c r="B22" s="41">
        <v>164000</v>
      </c>
      <c r="C22" s="41">
        <v>164000</v>
      </c>
      <c r="D22" s="41">
        <v>52363.652000000002</v>
      </c>
      <c r="E22" s="42">
        <f t="shared" si="0"/>
        <v>31.929056097560977</v>
      </c>
      <c r="F22" s="42">
        <v>118.97653596890848</v>
      </c>
    </row>
    <row r="23" spans="1:6" s="43" customFormat="1" x14ac:dyDescent="0.25">
      <c r="A23" s="40" t="s">
        <v>8</v>
      </c>
      <c r="B23" s="41">
        <f>+B21-B22</f>
        <v>246000</v>
      </c>
      <c r="C23" s="41">
        <f>+C21-C22</f>
        <v>246000</v>
      </c>
      <c r="D23" s="41">
        <f>+D21-D22</f>
        <v>48335.678</v>
      </c>
      <c r="E23" s="42">
        <f t="shared" si="0"/>
        <v>19.648649593495936</v>
      </c>
      <c r="F23" s="42">
        <v>118.83796076968942</v>
      </c>
    </row>
    <row r="24" spans="1:6" x14ac:dyDescent="0.25">
      <c r="A24" s="35" t="s">
        <v>9</v>
      </c>
      <c r="B24" s="36">
        <v>240000</v>
      </c>
      <c r="C24" s="36">
        <v>240000</v>
      </c>
      <c r="D24" s="36">
        <v>90525.053</v>
      </c>
      <c r="E24" s="37">
        <f t="shared" si="0"/>
        <v>37.718772083333334</v>
      </c>
      <c r="F24" s="37">
        <v>106.89586125682253</v>
      </c>
    </row>
    <row r="25" spans="1:6" s="43" customFormat="1" x14ac:dyDescent="0.25">
      <c r="A25" s="40" t="s">
        <v>10</v>
      </c>
      <c r="B25" s="41">
        <v>80000</v>
      </c>
      <c r="C25" s="41">
        <v>80000</v>
      </c>
      <c r="D25" s="41">
        <v>11292.258</v>
      </c>
      <c r="E25" s="37">
        <f t="shared" si="0"/>
        <v>14.1153225</v>
      </c>
      <c r="F25" s="37">
        <v>81.634323455820336</v>
      </c>
    </row>
    <row r="26" spans="1:6" x14ac:dyDescent="0.25">
      <c r="A26" s="35" t="s">
        <v>11</v>
      </c>
      <c r="B26" s="36">
        <v>620000</v>
      </c>
      <c r="C26" s="36">
        <v>620000</v>
      </c>
      <c r="D26" s="36">
        <v>261420.41099999999</v>
      </c>
      <c r="E26" s="37">
        <f t="shared" si="0"/>
        <v>42.164582419354836</v>
      </c>
      <c r="F26" s="37">
        <v>206.43104989117614</v>
      </c>
    </row>
    <row r="27" spans="1:6" x14ac:dyDescent="0.25">
      <c r="A27" s="35" t="s">
        <v>87</v>
      </c>
      <c r="B27" s="36"/>
      <c r="C27" s="36">
        <v>260000</v>
      </c>
      <c r="D27" s="36">
        <v>178042.084</v>
      </c>
      <c r="E27" s="37">
        <f t="shared" si="0"/>
        <v>68.477724615384616</v>
      </c>
      <c r="F27" s="37">
        <v>534.63535316870139</v>
      </c>
    </row>
    <row r="28" spans="1:6" x14ac:dyDescent="0.25">
      <c r="A28" s="35" t="s">
        <v>88</v>
      </c>
      <c r="B28" s="36"/>
      <c r="C28" s="36">
        <f>+C26-C27</f>
        <v>360000</v>
      </c>
      <c r="D28" s="36">
        <f>+D26-D27</f>
        <v>83378.32699999999</v>
      </c>
      <c r="E28" s="37">
        <f t="shared" si="0"/>
        <v>23.160646388888885</v>
      </c>
      <c r="F28" s="37">
        <v>89.330859332433093</v>
      </c>
    </row>
    <row r="29" spans="1:6" x14ac:dyDescent="0.25">
      <c r="A29" s="35" t="s">
        <v>12</v>
      </c>
      <c r="B29" s="36">
        <v>44000</v>
      </c>
      <c r="C29" s="36">
        <v>44000</v>
      </c>
      <c r="D29" s="36">
        <v>23237.244999999999</v>
      </c>
      <c r="E29" s="37">
        <f t="shared" si="0"/>
        <v>52.811920454545451</v>
      </c>
      <c r="F29" s="37">
        <v>351.76964591640723</v>
      </c>
    </row>
    <row r="30" spans="1:6" x14ac:dyDescent="0.25">
      <c r="A30" s="35" t="s">
        <v>72</v>
      </c>
      <c r="B30" s="36">
        <v>6000</v>
      </c>
      <c r="C30" s="36">
        <v>6000</v>
      </c>
      <c r="D30" s="36">
        <v>2173.2550000000001</v>
      </c>
      <c r="E30" s="37">
        <f t="shared" si="0"/>
        <v>36.220916666666668</v>
      </c>
      <c r="F30" s="37">
        <v>85.074820259915555</v>
      </c>
    </row>
    <row r="31" spans="1:6" x14ac:dyDescent="0.25">
      <c r="A31" s="35" t="s">
        <v>73</v>
      </c>
      <c r="B31" s="38">
        <f>+B32+B33</f>
        <v>290000</v>
      </c>
      <c r="C31" s="38">
        <f>+C32+C33</f>
        <v>290000</v>
      </c>
      <c r="D31" s="38">
        <f>+D32+D33</f>
        <v>113327.125</v>
      </c>
      <c r="E31" s="37">
        <f t="shared" si="0"/>
        <v>39.078318965517241</v>
      </c>
      <c r="F31" s="37">
        <v>118.99739989387719</v>
      </c>
    </row>
    <row r="32" spans="1:6" s="43" customFormat="1" x14ac:dyDescent="0.25">
      <c r="A32" s="40" t="s">
        <v>13</v>
      </c>
      <c r="B32" s="41">
        <v>100000</v>
      </c>
      <c r="C32" s="41">
        <v>100000</v>
      </c>
      <c r="D32" s="41">
        <v>33378.339</v>
      </c>
      <c r="E32" s="42">
        <f t="shared" si="0"/>
        <v>33.378338999999997</v>
      </c>
      <c r="F32" s="42">
        <v>117.65665557743917</v>
      </c>
    </row>
    <row r="33" spans="1:6" s="43" customFormat="1" x14ac:dyDescent="0.25">
      <c r="A33" s="40" t="s">
        <v>14</v>
      </c>
      <c r="B33" s="41">
        <v>190000</v>
      </c>
      <c r="C33" s="41">
        <v>190000</v>
      </c>
      <c r="D33" s="41">
        <f>79391.195+51.46+506.131</f>
        <v>79948.786000000007</v>
      </c>
      <c r="E33" s="42">
        <f t="shared" si="0"/>
        <v>42.078308421052633</v>
      </c>
      <c r="F33" s="42">
        <v>119.56624089022642</v>
      </c>
    </row>
    <row r="34" spans="1:6" x14ac:dyDescent="0.25">
      <c r="A34" s="35" t="s">
        <v>74</v>
      </c>
      <c r="B34" s="36">
        <v>35000</v>
      </c>
      <c r="C34" s="36">
        <v>35000</v>
      </c>
      <c r="D34" s="36">
        <v>13446.763000000001</v>
      </c>
      <c r="E34" s="37">
        <f t="shared" ref="E34:E39" si="1">+D34/C34%</f>
        <v>38.419322857142859</v>
      </c>
      <c r="F34" s="37">
        <v>555.39386284540808</v>
      </c>
    </row>
    <row r="35" spans="1:6" x14ac:dyDescent="0.25">
      <c r="A35" s="35" t="s">
        <v>75</v>
      </c>
      <c r="B35" s="36">
        <v>140000</v>
      </c>
      <c r="C35" s="36">
        <v>140000</v>
      </c>
      <c r="D35" s="36">
        <v>35102.809000000001</v>
      </c>
      <c r="E35" s="37">
        <f t="shared" si="1"/>
        <v>25.073435</v>
      </c>
      <c r="F35" s="37"/>
    </row>
    <row r="36" spans="1:6" x14ac:dyDescent="0.25">
      <c r="A36" s="35" t="s">
        <v>76</v>
      </c>
      <c r="B36" s="36">
        <v>1890000</v>
      </c>
      <c r="C36" s="36">
        <v>1890000</v>
      </c>
      <c r="D36" s="36">
        <v>753639.549</v>
      </c>
      <c r="E36" s="37">
        <f t="shared" si="1"/>
        <v>39.87510841269841</v>
      </c>
      <c r="F36" s="37">
        <v>138.09059511070279</v>
      </c>
    </row>
    <row r="37" spans="1:6" x14ac:dyDescent="0.25">
      <c r="A37" s="44" t="s">
        <v>37</v>
      </c>
      <c r="B37" s="32">
        <f>+B38+B43</f>
        <v>19931050</v>
      </c>
      <c r="C37" s="32">
        <f>+C38+C43</f>
        <v>20652646</v>
      </c>
      <c r="D37" s="32">
        <f>+D38+D43</f>
        <v>4785479.8923333343</v>
      </c>
      <c r="E37" s="33">
        <f t="shared" si="1"/>
        <v>23.171267702614642</v>
      </c>
      <c r="F37" s="33"/>
    </row>
    <row r="38" spans="1:6" x14ac:dyDescent="0.25">
      <c r="A38" s="45" t="s">
        <v>58</v>
      </c>
      <c r="B38" s="32">
        <f>+B39+B40+B41+B42</f>
        <v>15922056</v>
      </c>
      <c r="C38" s="32">
        <f>+C39+C40+C41+C42</f>
        <v>16643652</v>
      </c>
      <c r="D38" s="32">
        <f>+D39+D40+D41+D42</f>
        <v>4151005.8923333338</v>
      </c>
      <c r="E38" s="33">
        <f t="shared" si="1"/>
        <v>24.940475157335264</v>
      </c>
      <c r="F38" s="37"/>
    </row>
    <row r="39" spans="1:6" s="47" customFormat="1" x14ac:dyDescent="0.25">
      <c r="A39" s="46" t="s">
        <v>59</v>
      </c>
      <c r="B39" s="39">
        <f>+B10-B22-B25-B32</f>
        <v>6523000</v>
      </c>
      <c r="C39" s="39">
        <f>+C10-C22-C25-C32</f>
        <v>6523000</v>
      </c>
      <c r="D39" s="39">
        <f>+D10-D22-D25-D32</f>
        <v>2477930.5590000004</v>
      </c>
      <c r="E39" s="37">
        <f t="shared" si="1"/>
        <v>37.987590970412391</v>
      </c>
      <c r="F39" s="37"/>
    </row>
    <row r="40" spans="1:6" s="47" customFormat="1" x14ac:dyDescent="0.25">
      <c r="A40" s="46" t="s">
        <v>89</v>
      </c>
      <c r="B40" s="48">
        <v>8816122</v>
      </c>
      <c r="C40" s="48">
        <v>8816122</v>
      </c>
      <c r="D40" s="48">
        <v>1469353.6666666667</v>
      </c>
      <c r="E40" s="37">
        <f>+D40/C40%</f>
        <v>16.666666666666668</v>
      </c>
      <c r="F40" s="49"/>
    </row>
    <row r="41" spans="1:6" s="47" customFormat="1" x14ac:dyDescent="0.25">
      <c r="A41" s="46" t="s">
        <v>78</v>
      </c>
      <c r="B41" s="48">
        <v>500734</v>
      </c>
      <c r="C41" s="48">
        <v>1222330</v>
      </c>
      <c r="D41" s="48">
        <v>203721.66666666666</v>
      </c>
      <c r="E41" s="37">
        <f>+D41/C41%</f>
        <v>16.666666666666668</v>
      </c>
      <c r="F41" s="49"/>
    </row>
    <row r="42" spans="1:6" s="47" customFormat="1" x14ac:dyDescent="0.25">
      <c r="A42" s="46" t="s">
        <v>60</v>
      </c>
      <c r="B42" s="48">
        <v>82200</v>
      </c>
      <c r="C42" s="48">
        <v>82200</v>
      </c>
      <c r="D42" s="38"/>
      <c r="E42" s="37">
        <f t="shared" ref="E42:E43" si="2">+D42/C42%</f>
        <v>0</v>
      </c>
      <c r="F42" s="50"/>
    </row>
    <row r="43" spans="1:6" x14ac:dyDescent="0.25">
      <c r="A43" s="51" t="s">
        <v>61</v>
      </c>
      <c r="B43" s="52">
        <v>4008994</v>
      </c>
      <c r="C43" s="52">
        <v>4008994</v>
      </c>
      <c r="D43" s="52">
        <v>634474</v>
      </c>
      <c r="E43" s="53">
        <f t="shared" si="2"/>
        <v>15.826264643948083</v>
      </c>
      <c r="F43" s="54"/>
    </row>
  </sheetData>
  <mergeCells count="8">
    <mergeCell ref="A1:C1"/>
    <mergeCell ref="A5:A6"/>
    <mergeCell ref="B5:C5"/>
    <mergeCell ref="A2:F2"/>
    <mergeCell ref="A3:F3"/>
    <mergeCell ref="D5:D6"/>
    <mergeCell ref="E5:F5"/>
    <mergeCell ref="E4:F4"/>
  </mergeCells>
  <phoneticPr fontId="4" type="noConversion"/>
  <pageMargins left="0.24" right="0.16" top="0.35" bottom="0.2" header="0.34" footer="0.3"/>
  <pageSetup scale="85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5"/>
  <sheetViews>
    <sheetView zoomScale="115" zoomScaleNormal="11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11" sqref="A11:XFD14"/>
    </sheetView>
  </sheetViews>
  <sheetFormatPr defaultColWidth="8.85546875" defaultRowHeight="15" x14ac:dyDescent="0.25"/>
  <cols>
    <col min="1" max="1" width="50.7109375" style="57" bestFit="1" customWidth="1"/>
    <col min="2" max="2" width="14.5703125" style="57" bestFit="1" customWidth="1"/>
    <col min="3" max="3" width="12.7109375" style="57" customWidth="1"/>
    <col min="4" max="4" width="9.140625" style="57" customWidth="1"/>
    <col min="5" max="5" width="9.140625" style="57" bestFit="1" customWidth="1"/>
    <col min="6" max="6" width="8.85546875" style="57"/>
    <col min="7" max="7" width="11.42578125" style="57" bestFit="1" customWidth="1"/>
    <col min="8" max="16384" width="8.85546875" style="57"/>
  </cols>
  <sheetData>
    <row r="1" spans="1:5" ht="16.5" x14ac:dyDescent="0.25">
      <c r="A1" s="104"/>
      <c r="B1" s="104"/>
      <c r="C1" s="56"/>
      <c r="D1" s="56"/>
      <c r="E1" s="56"/>
    </row>
    <row r="2" spans="1:5" ht="16.5" x14ac:dyDescent="0.25">
      <c r="A2" s="104" t="s">
        <v>124</v>
      </c>
      <c r="B2" s="104"/>
      <c r="C2" s="104"/>
      <c r="D2" s="104"/>
      <c r="E2" s="104"/>
    </row>
    <row r="3" spans="1:5" ht="16.5" x14ac:dyDescent="0.25">
      <c r="A3" s="104"/>
      <c r="B3" s="104"/>
      <c r="C3" s="104"/>
      <c r="D3" s="104"/>
      <c r="E3" s="104"/>
    </row>
    <row r="4" spans="1:5" x14ac:dyDescent="0.25">
      <c r="A4" s="58"/>
      <c r="B4" s="59"/>
      <c r="C4" s="60"/>
      <c r="D4" s="103" t="s">
        <v>0</v>
      </c>
      <c r="E4" s="103"/>
    </row>
    <row r="5" spans="1:5" ht="42.75" customHeight="1" x14ac:dyDescent="0.25">
      <c r="A5" s="105" t="s">
        <v>1</v>
      </c>
      <c r="B5" s="106" t="s">
        <v>84</v>
      </c>
      <c r="C5" s="100" t="s">
        <v>126</v>
      </c>
      <c r="D5" s="108" t="s">
        <v>91</v>
      </c>
      <c r="E5" s="108"/>
    </row>
    <row r="6" spans="1:5" s="62" customFormat="1" ht="30" customHeight="1" x14ac:dyDescent="0.25">
      <c r="A6" s="105"/>
      <c r="B6" s="107"/>
      <c r="C6" s="101"/>
      <c r="D6" s="61" t="s">
        <v>33</v>
      </c>
      <c r="E6" s="61" t="s">
        <v>35</v>
      </c>
    </row>
    <row r="7" spans="1:5" ht="15.75" x14ac:dyDescent="0.25">
      <c r="A7" s="1">
        <v>1</v>
      </c>
      <c r="B7" s="2">
        <v>2</v>
      </c>
      <c r="C7" s="26">
        <v>4</v>
      </c>
      <c r="D7" s="26" t="s">
        <v>122</v>
      </c>
      <c r="E7" s="27">
        <v>6</v>
      </c>
    </row>
    <row r="8" spans="1:5" x14ac:dyDescent="0.25">
      <c r="A8" s="63" t="s">
        <v>56</v>
      </c>
      <c r="B8" s="64">
        <f>+B9+B38</f>
        <v>20652645.899999999</v>
      </c>
      <c r="C8" s="64">
        <f>+C9+C38</f>
        <v>3969778.2592391004</v>
      </c>
      <c r="D8" s="65">
        <f>+C8/(B8)%</f>
        <v>19.221644909135353</v>
      </c>
      <c r="E8" s="65">
        <v>136.55242846017725</v>
      </c>
    </row>
    <row r="9" spans="1:5" s="69" customFormat="1" ht="14.25" x14ac:dyDescent="0.2">
      <c r="A9" s="66" t="s">
        <v>38</v>
      </c>
      <c r="B9" s="67">
        <f>+B10+B11+B34+B35+B36+B37</f>
        <v>16643651.899999999</v>
      </c>
      <c r="C9" s="67">
        <f>+C10+C11+C34+C35+C36+C37</f>
        <v>3262790.5480000004</v>
      </c>
      <c r="D9" s="68">
        <f t="shared" ref="D9:D36" si="0">+C9/B9%</f>
        <v>19.603813920189001</v>
      </c>
      <c r="E9" s="68">
        <v>121.89944538328709</v>
      </c>
    </row>
    <row r="10" spans="1:5" s="69" customFormat="1" ht="14.25" x14ac:dyDescent="0.2">
      <c r="A10" s="70" t="s">
        <v>15</v>
      </c>
      <c r="B10" s="71">
        <v>3973874</v>
      </c>
      <c r="C10" s="71">
        <v>779271.5</v>
      </c>
      <c r="D10" s="68">
        <f t="shared" si="0"/>
        <v>19.60986936173618</v>
      </c>
      <c r="E10" s="68">
        <v>212.91571038251365</v>
      </c>
    </row>
    <row r="11" spans="1:5" s="69" customFormat="1" ht="14.25" x14ac:dyDescent="0.2">
      <c r="A11" s="74" t="s">
        <v>16</v>
      </c>
      <c r="B11" s="71">
        <f>+B12+B16+B25+B30+B31+B32+B33</f>
        <v>11715222.899999999</v>
      </c>
      <c r="C11" s="71">
        <f>+C12+C16+C25+C30+C31+C32+C33</f>
        <v>2482844.9680000003</v>
      </c>
      <c r="D11" s="68">
        <f t="shared" si="0"/>
        <v>21.19332247617756</v>
      </c>
      <c r="E11" s="68">
        <v>107.45341164709939</v>
      </c>
    </row>
    <row r="12" spans="1:5" s="69" customFormat="1" ht="14.25" x14ac:dyDescent="0.2">
      <c r="A12" s="75" t="s">
        <v>27</v>
      </c>
      <c r="B12" s="71">
        <f>+B13+B14+B15</f>
        <v>1248445</v>
      </c>
      <c r="C12" s="71">
        <f>+C13+C14+C15</f>
        <v>157387.52799999999</v>
      </c>
      <c r="D12" s="68">
        <f t="shared" si="0"/>
        <v>12.606684956085369</v>
      </c>
      <c r="E12" s="68">
        <v>109.08993719733893</v>
      </c>
    </row>
    <row r="13" spans="1:5" x14ac:dyDescent="0.25">
      <c r="A13" s="76" t="s">
        <v>17</v>
      </c>
      <c r="B13" s="72">
        <v>364045</v>
      </c>
      <c r="C13" s="72">
        <f>87504.539-5827.49</f>
        <v>81677.048999999999</v>
      </c>
      <c r="D13" s="73">
        <f t="shared" si="0"/>
        <v>22.435976046917279</v>
      </c>
      <c r="E13" s="73">
        <v>114.7185559164876</v>
      </c>
    </row>
    <row r="14" spans="1:5" x14ac:dyDescent="0.25">
      <c r="A14" s="76" t="s">
        <v>18</v>
      </c>
      <c r="B14" s="72">
        <v>73530</v>
      </c>
      <c r="C14" s="72">
        <v>18370.841</v>
      </c>
      <c r="D14" s="73">
        <f t="shared" si="0"/>
        <v>24.984143886848909</v>
      </c>
      <c r="E14" s="73">
        <v>80.355490939731723</v>
      </c>
    </row>
    <row r="15" spans="1:5" x14ac:dyDescent="0.25">
      <c r="A15" s="76" t="s">
        <v>36</v>
      </c>
      <c r="B15" s="72">
        <v>810870</v>
      </c>
      <c r="C15" s="72">
        <f>164721.142-C13-C14-5827.49-1506.124</f>
        <v>57339.637999999992</v>
      </c>
      <c r="D15" s="73">
        <f t="shared" si="0"/>
        <v>7.071372476475883</v>
      </c>
      <c r="E15" s="73">
        <v>114.19177077603831</v>
      </c>
    </row>
    <row r="16" spans="1:5" x14ac:dyDescent="0.25">
      <c r="A16" s="75" t="s">
        <v>28</v>
      </c>
      <c r="B16" s="71">
        <f t="shared" ref="B16" si="1">+B17+B18+B19+B20+B21+B22+B23+B24</f>
        <v>7472802.8999999994</v>
      </c>
      <c r="C16" s="71">
        <f t="shared" ref="C16" si="2">+C17+C18+C19+C20+C21+C22+C23+C24</f>
        <v>1654817.9260000004</v>
      </c>
      <c r="D16" s="68">
        <f t="shared" si="0"/>
        <v>22.144541320633529</v>
      </c>
      <c r="E16" s="68">
        <v>111.13188326264756</v>
      </c>
    </row>
    <row r="17" spans="1:5" x14ac:dyDescent="0.25">
      <c r="A17" s="76" t="s">
        <v>19</v>
      </c>
      <c r="B17" s="72">
        <v>5178805.5999999996</v>
      </c>
      <c r="C17" s="72">
        <f>1160275.317-513.91</f>
        <v>1159761.4070000001</v>
      </c>
      <c r="D17" s="73">
        <f t="shared" si="0"/>
        <v>22.394380028476068</v>
      </c>
      <c r="E17" s="73">
        <v>118.2307888377491</v>
      </c>
    </row>
    <row r="18" spans="1:5" x14ac:dyDescent="0.25">
      <c r="A18" s="78" t="s">
        <v>20</v>
      </c>
      <c r="B18" s="72">
        <v>1025796</v>
      </c>
      <c r="C18" s="72">
        <v>132539.033</v>
      </c>
      <c r="D18" s="73">
        <f t="shared" si="0"/>
        <v>12.920603414324097</v>
      </c>
      <c r="E18" s="73">
        <v>96.432675808149412</v>
      </c>
    </row>
    <row r="19" spans="1:5" x14ac:dyDescent="0.25">
      <c r="A19" s="76" t="s">
        <v>43</v>
      </c>
      <c r="B19" s="72">
        <v>37983</v>
      </c>
      <c r="C19" s="72">
        <v>9455.2119999999995</v>
      </c>
      <c r="D19" s="73">
        <f t="shared" si="0"/>
        <v>24.893273306479212</v>
      </c>
      <c r="E19" s="79">
        <v>99.163469227764097</v>
      </c>
    </row>
    <row r="20" spans="1:5" x14ac:dyDescent="0.25">
      <c r="A20" s="76" t="s">
        <v>44</v>
      </c>
      <c r="B20" s="72">
        <v>130923.3</v>
      </c>
      <c r="C20" s="72">
        <f>41620.415-1736.601</f>
        <v>39883.813999999998</v>
      </c>
      <c r="D20" s="73">
        <f t="shared" si="0"/>
        <v>30.463495802504216</v>
      </c>
      <c r="E20" s="73">
        <v>114.24217988523941</v>
      </c>
    </row>
    <row r="21" spans="1:5" x14ac:dyDescent="0.25">
      <c r="A21" s="76" t="s">
        <v>45</v>
      </c>
      <c r="B21" s="72">
        <v>35160</v>
      </c>
      <c r="C21" s="72">
        <v>4763.1149999999998</v>
      </c>
      <c r="D21" s="73">
        <f t="shared" si="0"/>
        <v>13.546970989761091</v>
      </c>
      <c r="E21" s="73">
        <v>59.232063582586569</v>
      </c>
    </row>
    <row r="22" spans="1:5" x14ac:dyDescent="0.25">
      <c r="A22" s="76" t="s">
        <v>21</v>
      </c>
      <c r="B22" s="72">
        <v>130169</v>
      </c>
      <c r="C22" s="72">
        <v>31243.795999999998</v>
      </c>
      <c r="D22" s="73">
        <f t="shared" si="0"/>
        <v>24.002485998970567</v>
      </c>
      <c r="E22" s="73">
        <v>103.31874105867415</v>
      </c>
    </row>
    <row r="23" spans="1:5" x14ac:dyDescent="0.25">
      <c r="A23" s="76" t="s">
        <v>22</v>
      </c>
      <c r="B23" s="72">
        <v>847832</v>
      </c>
      <c r="C23" s="72">
        <f>277600.069-428.52</f>
        <v>277171.549</v>
      </c>
      <c r="D23" s="73">
        <f t="shared" si="0"/>
        <v>32.6918008520556</v>
      </c>
      <c r="E23" s="73">
        <v>96.254375852029398</v>
      </c>
    </row>
    <row r="24" spans="1:5" hidden="1" x14ac:dyDescent="0.25">
      <c r="A24" s="76" t="s">
        <v>23</v>
      </c>
      <c r="B24" s="72">
        <v>86134</v>
      </c>
      <c r="C24" s="72"/>
      <c r="D24" s="73">
        <f t="shared" si="0"/>
        <v>0</v>
      </c>
      <c r="E24" s="73"/>
    </row>
    <row r="25" spans="1:5" x14ac:dyDescent="0.25">
      <c r="A25" s="75" t="s">
        <v>29</v>
      </c>
      <c r="B25" s="71">
        <f>SUM(B26:B29)</f>
        <v>1806997</v>
      </c>
      <c r="C25" s="71">
        <f>495657.922-6196.57</f>
        <v>489461.35200000001</v>
      </c>
      <c r="D25" s="68">
        <f t="shared" si="0"/>
        <v>27.087004128949854</v>
      </c>
      <c r="E25" s="68">
        <v>102.18819337919543</v>
      </c>
    </row>
    <row r="26" spans="1:5" hidden="1" x14ac:dyDescent="0.25">
      <c r="A26" s="76" t="s">
        <v>46</v>
      </c>
      <c r="B26" s="72">
        <v>1038449</v>
      </c>
      <c r="C26" s="72">
        <f>971000+20000+49000</f>
        <v>1040000</v>
      </c>
      <c r="D26" s="73">
        <f t="shared" si="0"/>
        <v>100.14935735890737</v>
      </c>
      <c r="E26" s="73" t="e">
        <v>#DIV/0!</v>
      </c>
    </row>
    <row r="27" spans="1:5" hidden="1" x14ac:dyDescent="0.25">
      <c r="A27" s="76" t="s">
        <v>47</v>
      </c>
      <c r="B27" s="72">
        <v>267181</v>
      </c>
      <c r="C27" s="72">
        <f>279000+10000+11000</f>
        <v>300000</v>
      </c>
      <c r="D27" s="73">
        <f t="shared" si="0"/>
        <v>112.28343332796868</v>
      </c>
      <c r="E27" s="73" t="e">
        <v>#DIV/0!</v>
      </c>
    </row>
    <row r="28" spans="1:5" hidden="1" x14ac:dyDescent="0.25">
      <c r="A28" s="76" t="s">
        <v>48</v>
      </c>
      <c r="B28" s="72">
        <v>374636</v>
      </c>
      <c r="C28" s="72">
        <f>334000+5000+11000</f>
        <v>350000</v>
      </c>
      <c r="D28" s="73">
        <f t="shared" si="0"/>
        <v>93.42401691241632</v>
      </c>
      <c r="E28" s="73" t="e">
        <v>#DIV/0!</v>
      </c>
    </row>
    <row r="29" spans="1:5" hidden="1" x14ac:dyDescent="0.25">
      <c r="A29" s="76" t="s">
        <v>49</v>
      </c>
      <c r="B29" s="72">
        <v>126731</v>
      </c>
      <c r="C29" s="72">
        <v>166000</v>
      </c>
      <c r="D29" s="73">
        <f t="shared" si="0"/>
        <v>130.98610442591001</v>
      </c>
      <c r="E29" s="73" t="e">
        <v>#DIV/0!</v>
      </c>
    </row>
    <row r="30" spans="1:5" x14ac:dyDescent="0.25">
      <c r="A30" s="75" t="s">
        <v>30</v>
      </c>
      <c r="B30" s="71">
        <v>418299</v>
      </c>
      <c r="C30" s="71">
        <f>105134.53+29031.703</f>
        <v>134166.23300000001</v>
      </c>
      <c r="D30" s="68">
        <f t="shared" si="0"/>
        <v>32.074241870049896</v>
      </c>
      <c r="E30" s="68">
        <v>116.89252946548557</v>
      </c>
    </row>
    <row r="31" spans="1:5" x14ac:dyDescent="0.25">
      <c r="A31" s="75" t="s">
        <v>31</v>
      </c>
      <c r="B31" s="71">
        <v>210957</v>
      </c>
      <c r="C31" s="71">
        <f>10656.251-60</f>
        <v>10596.251</v>
      </c>
      <c r="D31" s="68">
        <f t="shared" si="0"/>
        <v>5.0229435382566114</v>
      </c>
      <c r="E31" s="68">
        <v>31.815849923062473</v>
      </c>
    </row>
    <row r="32" spans="1:5" x14ac:dyDescent="0.25">
      <c r="A32" s="75" t="s">
        <v>50</v>
      </c>
      <c r="B32" s="80">
        <f>485809+71913</f>
        <v>557722</v>
      </c>
      <c r="C32" s="80">
        <f>35293.495+1976.06-853.877</f>
        <v>36415.678</v>
      </c>
      <c r="D32" s="68">
        <f t="shared" si="0"/>
        <v>6.5293601471700953</v>
      </c>
      <c r="E32" s="68">
        <v>72.496479392432732</v>
      </c>
    </row>
    <row r="33" spans="1:5" hidden="1" x14ac:dyDescent="0.25">
      <c r="A33" s="75" t="s">
        <v>62</v>
      </c>
      <c r="B33" s="80"/>
      <c r="C33" s="71"/>
      <c r="D33" s="68" t="e">
        <f t="shared" si="0"/>
        <v>#DIV/0!</v>
      </c>
      <c r="E33" s="68" t="e">
        <v>#DIV/0!</v>
      </c>
    </row>
    <row r="34" spans="1:5" ht="29.25" x14ac:dyDescent="0.25">
      <c r="A34" s="81" t="s">
        <v>77</v>
      </c>
      <c r="B34" s="80">
        <v>11500</v>
      </c>
      <c r="C34" s="80">
        <v>674.08</v>
      </c>
      <c r="D34" s="68">
        <f t="shared" si="0"/>
        <v>5.8615652173913046</v>
      </c>
      <c r="E34" s="68"/>
    </row>
    <row r="35" spans="1:5" x14ac:dyDescent="0.25">
      <c r="A35" s="75" t="s">
        <v>57</v>
      </c>
      <c r="B35" s="82">
        <v>1170</v>
      </c>
      <c r="C35" s="82">
        <v>0</v>
      </c>
      <c r="D35" s="68">
        <f t="shared" si="0"/>
        <v>0</v>
      </c>
      <c r="E35" s="68"/>
    </row>
    <row r="36" spans="1:5" x14ac:dyDescent="0.25">
      <c r="A36" s="84" t="s">
        <v>32</v>
      </c>
      <c r="B36" s="82">
        <v>316797</v>
      </c>
      <c r="C36" s="82">
        <v>0</v>
      </c>
      <c r="D36" s="68">
        <f t="shared" si="0"/>
        <v>0</v>
      </c>
      <c r="E36" s="68"/>
    </row>
    <row r="37" spans="1:5" x14ac:dyDescent="0.25">
      <c r="A37" s="75" t="s">
        <v>81</v>
      </c>
      <c r="B37" s="80">
        <v>625088</v>
      </c>
      <c r="C37" s="80"/>
      <c r="D37" s="68"/>
      <c r="E37" s="68"/>
    </row>
    <row r="38" spans="1:5" x14ac:dyDescent="0.25">
      <c r="A38" s="85" t="s">
        <v>51</v>
      </c>
      <c r="B38" s="82">
        <f>+B39+B40+B41</f>
        <v>4008994</v>
      </c>
      <c r="C38" s="82">
        <f>+C39+C40+C41</f>
        <v>706987.71123909997</v>
      </c>
      <c r="D38" s="68">
        <f>+C38/B38%</f>
        <v>17.635040392654613</v>
      </c>
      <c r="E38" s="68">
        <v>306.69091046479548</v>
      </c>
    </row>
    <row r="39" spans="1:5" s="69" customFormat="1" x14ac:dyDescent="0.25">
      <c r="A39" s="86" t="s">
        <v>52</v>
      </c>
      <c r="B39" s="83">
        <v>3329510</v>
      </c>
      <c r="C39" s="83">
        <v>607708.79999999993</v>
      </c>
      <c r="D39" s="73">
        <f>+C39/B39%</f>
        <v>18.252199272565633</v>
      </c>
      <c r="E39" s="73"/>
    </row>
    <row r="40" spans="1:5" s="69" customFormat="1" x14ac:dyDescent="0.25">
      <c r="A40" s="86" t="s">
        <v>55</v>
      </c>
      <c r="B40" s="83">
        <v>70473</v>
      </c>
      <c r="C40" s="83">
        <v>17618.25</v>
      </c>
      <c r="D40" s="73">
        <f>+C40/B40%</f>
        <v>25</v>
      </c>
      <c r="E40" s="73"/>
    </row>
    <row r="41" spans="1:5" s="69" customFormat="1" ht="15.75" x14ac:dyDescent="0.25">
      <c r="A41" s="46" t="s">
        <v>82</v>
      </c>
      <c r="B41" s="83">
        <f>+B42+B43</f>
        <v>609011</v>
      </c>
      <c r="C41" s="83">
        <f>+C42+C43</f>
        <v>81660.661239099994</v>
      </c>
      <c r="D41" s="73">
        <f t="shared" ref="D41:D43" si="3">+C41/B41%</f>
        <v>13.408733379052267</v>
      </c>
      <c r="E41" s="73"/>
    </row>
    <row r="42" spans="1:5" s="69" customFormat="1" ht="15.75" x14ac:dyDescent="0.25">
      <c r="A42" s="50" t="s">
        <v>79</v>
      </c>
      <c r="B42" s="83">
        <v>356782</v>
      </c>
      <c r="C42" s="83">
        <v>64537.567349099991</v>
      </c>
      <c r="D42" s="73">
        <f t="shared" si="3"/>
        <v>18.088795777001078</v>
      </c>
      <c r="E42" s="73"/>
    </row>
    <row r="43" spans="1:5" s="69" customFormat="1" ht="15.75" x14ac:dyDescent="0.25">
      <c r="A43" s="55" t="s">
        <v>80</v>
      </c>
      <c r="B43" s="87">
        <v>252229</v>
      </c>
      <c r="C43" s="87">
        <v>17123.09389</v>
      </c>
      <c r="D43" s="89">
        <f t="shared" si="3"/>
        <v>6.788709422786436</v>
      </c>
      <c r="E43" s="90"/>
    </row>
    <row r="44" spans="1:5" ht="15.75" x14ac:dyDescent="0.25">
      <c r="A44" s="91"/>
      <c r="B44" s="88"/>
      <c r="C44" s="88"/>
      <c r="D44" s="92"/>
      <c r="E44" s="93"/>
    </row>
    <row r="45" spans="1:5" ht="15.75" x14ac:dyDescent="0.25">
      <c r="A45" s="91"/>
      <c r="B45" s="88"/>
      <c r="C45" s="88"/>
      <c r="D45" s="92"/>
      <c r="E45" s="93"/>
    </row>
    <row r="46" spans="1:5" ht="15.75" x14ac:dyDescent="0.25">
      <c r="A46" s="91"/>
      <c r="B46" s="88"/>
      <c r="C46" s="88"/>
      <c r="D46" s="92"/>
      <c r="E46" s="93"/>
    </row>
    <row r="47" spans="1:5" ht="15.75" x14ac:dyDescent="0.25">
      <c r="A47" s="91"/>
      <c r="B47" s="88"/>
      <c r="C47" s="88"/>
      <c r="D47" s="92"/>
      <c r="E47" s="93"/>
    </row>
    <row r="48" spans="1:5" ht="15.75" x14ac:dyDescent="0.25">
      <c r="A48" s="91"/>
      <c r="B48" s="88"/>
      <c r="C48" s="88"/>
      <c r="D48" s="92"/>
      <c r="E48" s="93"/>
    </row>
    <row r="49" spans="1:7" hidden="1" x14ac:dyDescent="0.25">
      <c r="B49" s="77">
        <f>+B10+B39+B42</f>
        <v>7660166</v>
      </c>
      <c r="C49" s="77">
        <f>+C10+C39+C42</f>
        <v>1451517.8673490998</v>
      </c>
      <c r="D49" s="94">
        <f>+C49/B49%</f>
        <v>18.948908774941689</v>
      </c>
    </row>
    <row r="50" spans="1:7" hidden="1" x14ac:dyDescent="0.25">
      <c r="B50" s="77">
        <f>+B10+B39+B42</f>
        <v>7660166</v>
      </c>
      <c r="C50" s="77">
        <f>+C10+C39+C42</f>
        <v>1451517.8673490998</v>
      </c>
      <c r="D50" s="73">
        <f>+C50/B50%</f>
        <v>18.948908774941689</v>
      </c>
    </row>
    <row r="51" spans="1:7" hidden="1" x14ac:dyDescent="0.25">
      <c r="B51" s="77">
        <f>+B11+B40+B43</f>
        <v>12037924.899999999</v>
      </c>
      <c r="C51" s="77">
        <f>+C11+C40+C43</f>
        <v>2517586.3118900005</v>
      </c>
      <c r="D51" s="73">
        <f>+C51/B51%</f>
        <v>20.913789816798083</v>
      </c>
    </row>
    <row r="52" spans="1:7" hidden="1" x14ac:dyDescent="0.25">
      <c r="C52" s="77"/>
    </row>
    <row r="53" spans="1:7" hidden="1" x14ac:dyDescent="0.25">
      <c r="A53" s="57" t="s">
        <v>65</v>
      </c>
      <c r="F53" s="57" t="s">
        <v>63</v>
      </c>
      <c r="G53" s="57" t="s">
        <v>64</v>
      </c>
    </row>
    <row r="54" spans="1:7" hidden="1" x14ac:dyDescent="0.25">
      <c r="A54" s="57" t="s">
        <v>46</v>
      </c>
      <c r="F54" s="95">
        <v>55020</v>
      </c>
      <c r="G54" s="95">
        <v>49388</v>
      </c>
    </row>
    <row r="55" spans="1:7" hidden="1" x14ac:dyDescent="0.25">
      <c r="A55" s="57" t="s">
        <v>47</v>
      </c>
      <c r="F55" s="95">
        <v>10801</v>
      </c>
      <c r="G55" s="95">
        <v>10301</v>
      </c>
    </row>
    <row r="56" spans="1:7" hidden="1" x14ac:dyDescent="0.25">
      <c r="A56" s="57" t="s">
        <v>48</v>
      </c>
      <c r="F56" s="95">
        <v>23147</v>
      </c>
      <c r="G56" s="95">
        <v>22079</v>
      </c>
    </row>
    <row r="57" spans="1:7" hidden="1" x14ac:dyDescent="0.25">
      <c r="A57" s="57" t="s">
        <v>49</v>
      </c>
      <c r="F57" s="95">
        <v>2420</v>
      </c>
      <c r="G57" s="95">
        <v>2630</v>
      </c>
    </row>
    <row r="58" spans="1:7" hidden="1" x14ac:dyDescent="0.25"/>
    <row r="59" spans="1:7" hidden="1" x14ac:dyDescent="0.25">
      <c r="C59" s="77"/>
    </row>
    <row r="60" spans="1:7" hidden="1" x14ac:dyDescent="0.25">
      <c r="B60" s="57">
        <f>+B38/12</f>
        <v>334082.83333333331</v>
      </c>
      <c r="C60" s="77"/>
    </row>
    <row r="61" spans="1:7" hidden="1" x14ac:dyDescent="0.25">
      <c r="B61" s="57">
        <f>+B60/30</f>
        <v>11136.094444444443</v>
      </c>
    </row>
    <row r="62" spans="1:7" hidden="1" x14ac:dyDescent="0.25">
      <c r="B62" s="57">
        <f>+B61*16</f>
        <v>178177.51111111109</v>
      </c>
    </row>
    <row r="65" spans="3:3" x14ac:dyDescent="0.25">
      <c r="C65" s="77"/>
    </row>
  </sheetData>
  <mergeCells count="8">
    <mergeCell ref="A1:B1"/>
    <mergeCell ref="A5:A6"/>
    <mergeCell ref="A2:E2"/>
    <mergeCell ref="A3:E3"/>
    <mergeCell ref="B5:B6"/>
    <mergeCell ref="C5:C6"/>
    <mergeCell ref="D5:E5"/>
    <mergeCell ref="D4:E4"/>
  </mergeCells>
  <pageMargins left="0.42" right="0.37" top="0.3" bottom="0.28999999999999998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8"/>
  <sheetViews>
    <sheetView workbookViewId="0">
      <pane xSplit="7" ySplit="7" topLeftCell="H29" activePane="bottomRight" state="frozen"/>
      <selection pane="topRight" activeCell="K1" sqref="K1"/>
      <selection pane="bottomLeft" activeCell="A8" sqref="A8"/>
      <selection pane="bottomRight" activeCell="E36" sqref="E36"/>
    </sheetView>
  </sheetViews>
  <sheetFormatPr defaultRowHeight="15" x14ac:dyDescent="0.25"/>
  <cols>
    <col min="1" max="1" width="51.140625" style="128" bestFit="1" customWidth="1"/>
    <col min="2" max="2" width="13.5703125" style="128" bestFit="1" customWidth="1"/>
    <col min="3" max="3" width="12.28515625" style="128" bestFit="1" customWidth="1"/>
    <col min="4" max="4" width="8.28515625" style="128" bestFit="1" customWidth="1"/>
    <col min="5" max="5" width="12.85546875" style="128" bestFit="1" customWidth="1"/>
    <col min="6" max="6" width="12.42578125" style="128" bestFit="1" customWidth="1"/>
    <col min="7" max="7" width="8.28515625" style="128" bestFit="1" customWidth="1"/>
    <col min="8" max="8" width="13.42578125" style="128" bestFit="1" customWidth="1"/>
    <col min="9" max="9" width="12.140625" style="128" bestFit="1" customWidth="1"/>
    <col min="10" max="10" width="10.140625" style="128" bestFit="1" customWidth="1"/>
    <col min="11" max="12" width="11.7109375" style="128" bestFit="1" customWidth="1"/>
    <col min="13" max="13" width="10.5703125" style="128" bestFit="1" customWidth="1"/>
    <col min="14" max="14" width="10.7109375" style="128" bestFit="1" customWidth="1"/>
    <col min="15" max="15" width="10.85546875" style="128" bestFit="1" customWidth="1"/>
    <col min="16" max="16" width="10.5703125" style="128" bestFit="1" customWidth="1"/>
    <col min="17" max="17" width="10.7109375" style="128" bestFit="1" customWidth="1"/>
    <col min="18" max="18" width="10" style="128" customWidth="1"/>
    <col min="19" max="19" width="11.7109375" style="128" bestFit="1" customWidth="1"/>
    <col min="20" max="20" width="12.140625" style="128" bestFit="1" customWidth="1"/>
    <col min="21" max="21" width="10" style="128" customWidth="1"/>
    <col min="22" max="22" width="11.7109375" style="128" bestFit="1" customWidth="1"/>
    <col min="23" max="23" width="10.7109375" style="128" bestFit="1" customWidth="1"/>
    <col min="24" max="24" width="10.7109375" style="128" customWidth="1"/>
    <col min="25" max="25" width="10.140625" style="128" bestFit="1" customWidth="1"/>
    <col min="26" max="26" width="10.7109375" style="128" bestFit="1" customWidth="1"/>
    <col min="27" max="27" width="12.140625" style="128" bestFit="1" customWidth="1"/>
    <col min="28" max="28" width="10.140625" style="128" bestFit="1" customWidth="1"/>
    <col min="29" max="29" width="10.7109375" style="128" bestFit="1" customWidth="1"/>
    <col min="30" max="30" width="11.28515625" style="128" bestFit="1" customWidth="1"/>
    <col min="31" max="31" width="11.7109375" style="128" bestFit="1" customWidth="1"/>
    <col min="32" max="32" width="10.7109375" style="128" bestFit="1" customWidth="1"/>
    <col min="33" max="33" width="10.85546875" style="128" bestFit="1" customWidth="1"/>
    <col min="34" max="34" width="8.140625" style="128" bestFit="1" customWidth="1"/>
    <col min="35" max="35" width="10.7109375" style="128" bestFit="1" customWidth="1"/>
    <col min="36" max="36" width="11.7109375" style="128" bestFit="1" customWidth="1"/>
    <col min="37" max="37" width="11.140625" style="128" bestFit="1" customWidth="1"/>
    <col min="38" max="38" width="10.7109375" style="128" bestFit="1" customWidth="1"/>
    <col min="39" max="39" width="11.7109375" style="128" bestFit="1" customWidth="1"/>
    <col min="40" max="40" width="10.140625" style="128" bestFit="1" customWidth="1"/>
    <col min="41" max="41" width="10.42578125" style="128" customWidth="1"/>
    <col min="42" max="42" width="10.140625" style="128" customWidth="1"/>
    <col min="43" max="43" width="11.7109375" style="128" bestFit="1" customWidth="1"/>
    <col min="44" max="16384" width="9.140625" style="128"/>
  </cols>
  <sheetData>
    <row r="1" spans="1:43" ht="4.9000000000000004" customHeight="1" x14ac:dyDescent="0.3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43" ht="18.75" x14ac:dyDescent="0.3">
      <c r="A2" s="109"/>
      <c r="B2" s="110" t="s">
        <v>125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09"/>
      <c r="O2" s="109"/>
      <c r="P2" s="109"/>
    </row>
    <row r="3" spans="1:43" ht="18.75" x14ac:dyDescent="0.3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4" spans="1:43" ht="14.45" customHeight="1" x14ac:dyDescent="0.25">
      <c r="A4" s="131"/>
      <c r="B4" s="132"/>
      <c r="C4" s="133"/>
      <c r="D4" s="111"/>
      <c r="E4" s="133"/>
      <c r="F4" s="112"/>
      <c r="H4" s="113"/>
      <c r="I4" s="114"/>
      <c r="J4" s="114"/>
      <c r="K4" s="115"/>
      <c r="L4" s="116" t="s">
        <v>0</v>
      </c>
      <c r="M4" s="116"/>
      <c r="N4" s="117"/>
      <c r="O4" s="117"/>
      <c r="P4" s="117"/>
      <c r="T4" s="133"/>
    </row>
    <row r="5" spans="1:43" s="119" customFormat="1" x14ac:dyDescent="0.25">
      <c r="A5" s="134" t="s">
        <v>1</v>
      </c>
      <c r="B5" s="118" t="s">
        <v>92</v>
      </c>
      <c r="C5" s="118"/>
      <c r="D5" s="118"/>
      <c r="E5" s="118" t="s">
        <v>93</v>
      </c>
      <c r="F5" s="118"/>
      <c r="G5" s="118"/>
      <c r="H5" s="118" t="s">
        <v>94</v>
      </c>
      <c r="I5" s="118"/>
      <c r="J5" s="118"/>
      <c r="K5" s="118" t="s">
        <v>95</v>
      </c>
      <c r="L5" s="118"/>
      <c r="M5" s="118"/>
      <c r="N5" s="118" t="s">
        <v>96</v>
      </c>
      <c r="O5" s="118"/>
      <c r="P5" s="118"/>
      <c r="Q5" s="118" t="s">
        <v>97</v>
      </c>
      <c r="R5" s="118"/>
      <c r="S5" s="118"/>
      <c r="T5" s="118" t="s">
        <v>98</v>
      </c>
      <c r="U5" s="118"/>
      <c r="V5" s="118"/>
      <c r="W5" s="118" t="s">
        <v>99</v>
      </c>
      <c r="X5" s="118"/>
      <c r="Y5" s="118"/>
      <c r="Z5" s="118" t="s">
        <v>100</v>
      </c>
      <c r="AA5" s="118"/>
      <c r="AB5" s="118"/>
      <c r="AC5" s="118" t="s">
        <v>101</v>
      </c>
      <c r="AD5" s="118"/>
      <c r="AE5" s="118"/>
      <c r="AF5" s="118" t="s">
        <v>102</v>
      </c>
      <c r="AG5" s="118"/>
      <c r="AH5" s="118"/>
      <c r="AI5" s="118" t="s">
        <v>103</v>
      </c>
      <c r="AJ5" s="118"/>
      <c r="AK5" s="118"/>
      <c r="AL5" s="118" t="s">
        <v>104</v>
      </c>
      <c r="AM5" s="118"/>
      <c r="AN5" s="118"/>
      <c r="AO5" s="118" t="s">
        <v>105</v>
      </c>
      <c r="AP5" s="118"/>
      <c r="AQ5" s="118"/>
    </row>
    <row r="6" spans="1:43" s="119" customFormat="1" ht="42.75" x14ac:dyDescent="0.25">
      <c r="A6" s="134"/>
      <c r="B6" s="120" t="s">
        <v>106</v>
      </c>
      <c r="C6" s="135" t="s">
        <v>126</v>
      </c>
      <c r="D6" s="121" t="s">
        <v>107</v>
      </c>
      <c r="E6" s="120" t="s">
        <v>106</v>
      </c>
      <c r="F6" s="135" t="s">
        <v>126</v>
      </c>
      <c r="G6" s="121" t="s">
        <v>107</v>
      </c>
      <c r="H6" s="120" t="s">
        <v>106</v>
      </c>
      <c r="I6" s="135" t="s">
        <v>126</v>
      </c>
      <c r="J6" s="121" t="s">
        <v>107</v>
      </c>
      <c r="K6" s="120" t="s">
        <v>106</v>
      </c>
      <c r="L6" s="135" t="s">
        <v>126</v>
      </c>
      <c r="M6" s="121" t="s">
        <v>107</v>
      </c>
      <c r="N6" s="120" t="s">
        <v>106</v>
      </c>
      <c r="O6" s="135" t="s">
        <v>126</v>
      </c>
      <c r="P6" s="121" t="s">
        <v>107</v>
      </c>
      <c r="Q6" s="120" t="s">
        <v>106</v>
      </c>
      <c r="R6" s="135" t="s">
        <v>126</v>
      </c>
      <c r="S6" s="121" t="s">
        <v>107</v>
      </c>
      <c r="T6" s="120" t="s">
        <v>106</v>
      </c>
      <c r="U6" s="135" t="s">
        <v>126</v>
      </c>
      <c r="V6" s="121" t="s">
        <v>107</v>
      </c>
      <c r="W6" s="120" t="s">
        <v>106</v>
      </c>
      <c r="X6" s="135" t="s">
        <v>126</v>
      </c>
      <c r="Y6" s="121" t="s">
        <v>107</v>
      </c>
      <c r="Z6" s="120" t="s">
        <v>106</v>
      </c>
      <c r="AA6" s="135" t="s">
        <v>126</v>
      </c>
      <c r="AB6" s="121" t="s">
        <v>107</v>
      </c>
      <c r="AC6" s="120" t="s">
        <v>106</v>
      </c>
      <c r="AD6" s="135" t="s">
        <v>126</v>
      </c>
      <c r="AE6" s="121" t="s">
        <v>107</v>
      </c>
      <c r="AF6" s="120" t="s">
        <v>106</v>
      </c>
      <c r="AG6" s="135" t="s">
        <v>126</v>
      </c>
      <c r="AH6" s="121" t="s">
        <v>107</v>
      </c>
      <c r="AI6" s="120" t="s">
        <v>106</v>
      </c>
      <c r="AJ6" s="135" t="s">
        <v>126</v>
      </c>
      <c r="AK6" s="121" t="s">
        <v>107</v>
      </c>
      <c r="AL6" s="120" t="s">
        <v>106</v>
      </c>
      <c r="AM6" s="135" t="s">
        <v>126</v>
      </c>
      <c r="AN6" s="121" t="s">
        <v>107</v>
      </c>
      <c r="AO6" s="120" t="s">
        <v>106</v>
      </c>
      <c r="AP6" s="135" t="s">
        <v>126</v>
      </c>
      <c r="AQ6" s="121" t="s">
        <v>107</v>
      </c>
    </row>
    <row r="7" spans="1:43" ht="15" customHeight="1" x14ac:dyDescent="0.25">
      <c r="A7" s="136" t="s">
        <v>108</v>
      </c>
      <c r="B7" s="137">
        <f>+B8+B9</f>
        <v>7197000</v>
      </c>
      <c r="C7" s="137">
        <f>+C8+C9</f>
        <v>2754271.503</v>
      </c>
      <c r="D7" s="138">
        <f>C7/B7%</f>
        <v>38.269716590245935</v>
      </c>
      <c r="E7" s="137">
        <f>+B7-H7</f>
        <v>5138353</v>
      </c>
      <c r="F7" s="137">
        <f>+C7-I7</f>
        <v>1973307.612</v>
      </c>
      <c r="G7" s="122">
        <f>F7/E7%</f>
        <v>38.403504235695756</v>
      </c>
      <c r="H7" s="137">
        <f>+K7+N7+Q7+T7+W7+Z7+AC7+AF7+AI7+AL7+AO7</f>
        <v>2058647</v>
      </c>
      <c r="I7" s="137">
        <f>+L7+O7+R7+U7+X7+AA7+AD7+AG7+AJ7+AM7+AP7</f>
        <v>780963.89100000006</v>
      </c>
      <c r="J7" s="138">
        <f>I7/H7%</f>
        <v>37.935784571128515</v>
      </c>
      <c r="K7" s="137">
        <f>+K8+K9</f>
        <v>892000</v>
      </c>
      <c r="L7" s="137">
        <f>+L8+L9</f>
        <v>286564.16100000008</v>
      </c>
      <c r="M7" s="122">
        <f>L7/K7%</f>
        <v>32.126027017937226</v>
      </c>
      <c r="N7" s="137">
        <f>+N8+N9</f>
        <v>164800</v>
      </c>
      <c r="O7" s="137">
        <f>+O8+O9</f>
        <v>70317.13</v>
      </c>
      <c r="P7" s="122">
        <f>O7/N7%</f>
        <v>42.668161407766995</v>
      </c>
      <c r="Q7" s="137">
        <f>+Q8+Q9</f>
        <v>129000</v>
      </c>
      <c r="R7" s="137">
        <f>+R8+R9</f>
        <v>65761.832000000009</v>
      </c>
      <c r="S7" s="122">
        <f>R7/Q7%</f>
        <v>50.978164341085275</v>
      </c>
      <c r="T7" s="137">
        <f>+T8+T9</f>
        <v>175237</v>
      </c>
      <c r="U7" s="137">
        <f>+U8+U9</f>
        <v>73725.543000000005</v>
      </c>
      <c r="V7" s="122">
        <f>U7/T7%</f>
        <v>42.071904335271668</v>
      </c>
      <c r="W7" s="137">
        <f>+W8+W9</f>
        <v>114400</v>
      </c>
      <c r="X7" s="137">
        <f>+X8+X9</f>
        <v>45565.464999999997</v>
      </c>
      <c r="Y7" s="122">
        <f>X7/W7%</f>
        <v>39.829951923076919</v>
      </c>
      <c r="Z7" s="137">
        <f>+Z8+Z9</f>
        <v>108450</v>
      </c>
      <c r="AA7" s="137">
        <f>+AA8+AA9</f>
        <v>44393.532000000007</v>
      </c>
      <c r="AB7" s="122">
        <f>AA7/Z7%</f>
        <v>40.934561549100977</v>
      </c>
      <c r="AC7" s="137">
        <f>+AC8+AC9</f>
        <v>91360</v>
      </c>
      <c r="AD7" s="137">
        <f>+AD8+AD9</f>
        <v>37834.589</v>
      </c>
      <c r="AE7" s="122">
        <f>AD7/AC7%</f>
        <v>41.412641199649734</v>
      </c>
      <c r="AF7" s="137">
        <f>+AF8+AF9</f>
        <v>104700</v>
      </c>
      <c r="AG7" s="137">
        <f>+AG8+AG9</f>
        <v>36297.444000000003</v>
      </c>
      <c r="AH7" s="122">
        <f>AG7/AF7%</f>
        <v>34.668045845272211</v>
      </c>
      <c r="AI7" s="137">
        <f>+AI8+AI9</f>
        <v>119300</v>
      </c>
      <c r="AJ7" s="137">
        <f>+AJ8+AJ9</f>
        <v>53357.105000000003</v>
      </c>
      <c r="AK7" s="122">
        <f>AJ7/AI7%</f>
        <v>44.725150880134116</v>
      </c>
      <c r="AL7" s="137">
        <f>+AL8+AL9</f>
        <v>86800</v>
      </c>
      <c r="AM7" s="137">
        <f>+AM8+AM9</f>
        <v>29613.190999999999</v>
      </c>
      <c r="AN7" s="122">
        <f>AM7/AL7%</f>
        <v>34.116579493087556</v>
      </c>
      <c r="AO7" s="137">
        <f>+AO8+AO9</f>
        <v>72600</v>
      </c>
      <c r="AP7" s="137">
        <f>+AP8+AP9</f>
        <v>37533.899000000005</v>
      </c>
      <c r="AQ7" s="122">
        <f>AP7/AO7%</f>
        <v>51.699585399449042</v>
      </c>
    </row>
    <row r="8" spans="1:43" x14ac:dyDescent="0.25">
      <c r="A8" s="139" t="s">
        <v>24</v>
      </c>
      <c r="B8" s="9">
        <v>330000</v>
      </c>
      <c r="C8" s="9">
        <v>179306.69500000001</v>
      </c>
      <c r="D8" s="10">
        <f>C8/B8%</f>
        <v>54.335362121212121</v>
      </c>
      <c r="E8" s="9">
        <f>+B8-H8</f>
        <v>330000</v>
      </c>
      <c r="F8" s="9">
        <f>+C8-I8</f>
        <v>179306.69500000001</v>
      </c>
      <c r="G8" s="123">
        <f>F8/E8%</f>
        <v>54.335362121212121</v>
      </c>
      <c r="H8" s="9">
        <f>+K8+N8+Q8+T8+W8+Z8+AC8+AF8+AI8+AL8+AO8</f>
        <v>0</v>
      </c>
      <c r="I8" s="9">
        <f>+L8+O8+R8+U8+X8+AA8+AD8+AG8+AJ8+AM8+AP8</f>
        <v>0</v>
      </c>
      <c r="J8" s="10"/>
      <c r="K8" s="9"/>
      <c r="L8" s="9"/>
      <c r="M8" s="123"/>
      <c r="N8" s="9"/>
      <c r="O8" s="9"/>
      <c r="P8" s="123"/>
      <c r="Q8" s="9"/>
      <c r="R8" s="9"/>
      <c r="S8" s="123"/>
      <c r="T8" s="9"/>
      <c r="U8" s="9"/>
      <c r="V8" s="123"/>
      <c r="W8" s="9"/>
      <c r="X8" s="9"/>
      <c r="Y8" s="123"/>
      <c r="Z8" s="9"/>
      <c r="AA8" s="9"/>
      <c r="AB8" s="123"/>
      <c r="AC8" s="9"/>
      <c r="AD8" s="9"/>
      <c r="AE8" s="123"/>
      <c r="AF8" s="9"/>
      <c r="AG8" s="9"/>
      <c r="AH8" s="123"/>
      <c r="AI8" s="9"/>
      <c r="AJ8" s="9"/>
      <c r="AK8" s="123"/>
      <c r="AL8" s="9"/>
      <c r="AM8" s="9"/>
      <c r="AN8" s="123"/>
      <c r="AO8" s="9"/>
      <c r="AP8" s="9"/>
      <c r="AQ8" s="123"/>
    </row>
    <row r="9" spans="1:43" x14ac:dyDescent="0.25">
      <c r="A9" s="140" t="s">
        <v>25</v>
      </c>
      <c r="B9" s="9">
        <f>+B11+B12+B13+B14+B15+B16+B17+B18+B21+B26+B27+B29+B30+B34+B35+B36</f>
        <v>6867000</v>
      </c>
      <c r="C9" s="9">
        <f>+C11+C12+C13+C14+C15+C16+C17+C18+C21+C26+C27+C29+C30+C34+C35+C36</f>
        <v>2574964.8080000002</v>
      </c>
      <c r="D9" s="10">
        <f>C9/B9%</f>
        <v>37.497667220037862</v>
      </c>
      <c r="E9" s="9">
        <f>+B9-H9</f>
        <v>4808353</v>
      </c>
      <c r="F9" s="9">
        <f>+C9-I9</f>
        <v>1794000.9170000001</v>
      </c>
      <c r="G9" s="123">
        <f>F9/E9%</f>
        <v>37.310091771548393</v>
      </c>
      <c r="H9" s="9">
        <f>+K9+N9+Q9+T9+W9+Z9+AC9+AF9+AI9+AL9+AO9</f>
        <v>2058647</v>
      </c>
      <c r="I9" s="9">
        <f>+L9+O9+R9+U9+X9+AA9+AD9+AG9+AJ9+AM9+AP9</f>
        <v>780963.89100000006</v>
      </c>
      <c r="J9" s="10">
        <f>I9/H9%</f>
        <v>37.935784571128515</v>
      </c>
      <c r="K9" s="9">
        <f>+K11+K12+K13+K14+K15+K16+K17+K18+K21+K26+K27+K29+K30+K34+K35+K36</f>
        <v>892000</v>
      </c>
      <c r="L9" s="9">
        <f>+L11+L12+L13+L14+L15+L16+L17+L18+L21+L26+L27+L29+L30+L34+L35+L36</f>
        <v>286564.16100000008</v>
      </c>
      <c r="M9" s="123">
        <f>L9/K9%</f>
        <v>32.126027017937226</v>
      </c>
      <c r="N9" s="9">
        <f>+N11+N12+N13+N14+N15+N16+N17+N18+N21+N26+N27+N29+N30+N34+N35+N36</f>
        <v>164800</v>
      </c>
      <c r="O9" s="9">
        <f>+O11+O12+O13+O14+O15+O16+O17+O18+O21+O26+O27+O29+O30+O34+O35+O36</f>
        <v>70317.13</v>
      </c>
      <c r="P9" s="123">
        <f>O9/N9%</f>
        <v>42.668161407766995</v>
      </c>
      <c r="Q9" s="9">
        <f>+Q11+Q12+Q13+Q14+Q15+Q16+Q17+Q18+Q21+Q26+Q27+Q29+Q30+Q34+Q35+Q36</f>
        <v>129000</v>
      </c>
      <c r="R9" s="9">
        <f>+R11+R12+R13+R14+R15+R16+R17+R18+R21+R26+R27+R29+R30+R34+R35+R36</f>
        <v>65761.832000000009</v>
      </c>
      <c r="S9" s="123">
        <f>R9/Q9%</f>
        <v>50.978164341085275</v>
      </c>
      <c r="T9" s="9">
        <f>+T11+T12+T13+T14+T15+T16+T17+T18+T21+T26+T27+T29+T30+T34+T35+T36</f>
        <v>175237</v>
      </c>
      <c r="U9" s="9">
        <f>+U11+U12+U13+U14+U15+U16+U17+U18+U21+U26+U27+U29+U30+U34+U35+U36</f>
        <v>73725.543000000005</v>
      </c>
      <c r="V9" s="123">
        <f>U9/T9%</f>
        <v>42.071904335271668</v>
      </c>
      <c r="W9" s="9">
        <f>+W11+W12+W13+W14+W15+W16+W17+W18+W21+W26+W27+W29+W30+W34+W35+W36</f>
        <v>114400</v>
      </c>
      <c r="X9" s="9">
        <f>+X11+X12+X13+X14+X15+X16+X17+X18+X21+X26+X27+X29+X30+X34+X35+X36</f>
        <v>45565.464999999997</v>
      </c>
      <c r="Y9" s="123">
        <f>X9/W9%</f>
        <v>39.829951923076919</v>
      </c>
      <c r="Z9" s="9">
        <f>+Z11+Z12+Z13+Z14+Z15+Z16+Z17+Z18+Z21+Z26+Z27+Z29+Z30+Z34+Z35+Z36</f>
        <v>108450</v>
      </c>
      <c r="AA9" s="9">
        <f>+AA11+AA12+AA13+AA14+AA15+AA16+AA17+AA18+AA21+AA26+AA27+AA29+AA30+AA34+AA35+AA36</f>
        <v>44393.532000000007</v>
      </c>
      <c r="AB9" s="123">
        <f>AA9/Z9%</f>
        <v>40.934561549100977</v>
      </c>
      <c r="AC9" s="9">
        <f>+AC11+AC12+AC13+AC14+AC15+AC16+AC17+AC18+AC21+AC26+AC27+AC29+AC30+AC34+AC35+AC36</f>
        <v>91360</v>
      </c>
      <c r="AD9" s="9">
        <f>+AD11+AD12+AD13+AD14+AD15+AD16+AD17+AD18+AD21+AD26+AD27+AD29+AD30+AD34+AD35+AD36</f>
        <v>37834.589</v>
      </c>
      <c r="AE9" s="123">
        <f>AD9/AC9%</f>
        <v>41.412641199649734</v>
      </c>
      <c r="AF9" s="9">
        <f>+AF11+AF12+AF13+AF14+AF15+AF16+AF17+AF18+AF21+AF26+AF27+AF29+AF30+AF34+AF35+AF36</f>
        <v>104700</v>
      </c>
      <c r="AG9" s="9">
        <f>+AG11+AG12+AG13+AG14+AG15+AG16+AG17+AG18+AG21+AG26+AG27+AG29+AG30+AG34+AG35+AG36</f>
        <v>36297.444000000003</v>
      </c>
      <c r="AH9" s="123">
        <f>AG9/AF9%</f>
        <v>34.668045845272211</v>
      </c>
      <c r="AI9" s="9">
        <f>+AI11+AI12+AI13+AI14+AI15+AI16+AI17+AI18+AI21+AI26+AI27+AI29+AI30+AI34+AI35+AI36</f>
        <v>119300</v>
      </c>
      <c r="AJ9" s="9">
        <f>+AJ11+AJ12+AJ13+AJ14+AJ15+AJ16+AJ17+AJ18+AJ21+AJ26+AJ27+AJ29+AJ30+AJ34+AJ35+AJ36</f>
        <v>53357.105000000003</v>
      </c>
      <c r="AK9" s="123">
        <f>AJ9/AI9%</f>
        <v>44.725150880134116</v>
      </c>
      <c r="AL9" s="9">
        <f>+AL11+AL12+AL13+AL14+AL15+AL16+AL17+AL18+AL21+AL26+AL27+AL29+AL30+AL34+AL35+AL36</f>
        <v>86800</v>
      </c>
      <c r="AM9" s="9">
        <f>+AM11+AM12+AM13+AM14+AM15+AM16+AM17+AM18+AM21+AM26+AM27+AM29+AM30+AM34+AM35+AM36</f>
        <v>29613.190999999999</v>
      </c>
      <c r="AN9" s="123">
        <f>AM9/AL9%</f>
        <v>34.116579493087556</v>
      </c>
      <c r="AO9" s="9">
        <f>+AO11+AO12+AO13+AO14+AO15+AO16+AO17+AO18+AO21+AO26+AO27+AO29+AO30+AO34+AO35+AO36</f>
        <v>72600</v>
      </c>
      <c r="AP9" s="9">
        <f>+AP11+AP12+AP13+AP14+AP15+AP16+AP17+AP18+AP21+AP26+AP27+AP29+AP30+AP34+AP35+AP36</f>
        <v>37533.899000000005</v>
      </c>
      <c r="AQ9" s="123">
        <f>AP9/AO9%</f>
        <v>51.699585399449042</v>
      </c>
    </row>
    <row r="10" spans="1:43" s="125" customFormat="1" x14ac:dyDescent="0.25">
      <c r="A10" s="141" t="s">
        <v>26</v>
      </c>
      <c r="B10" s="142">
        <f>+B9-B26-B36</f>
        <v>4357000</v>
      </c>
      <c r="C10" s="142">
        <f>+C9-C26-C36</f>
        <v>1559904.8480000002</v>
      </c>
      <c r="D10" s="143">
        <f>C10/B10%</f>
        <v>35.802268717007124</v>
      </c>
      <c r="E10" s="142">
        <f>+B10-H10</f>
        <v>2658353</v>
      </c>
      <c r="F10" s="142">
        <f>+C10-I10</f>
        <v>862319.27899999998</v>
      </c>
      <c r="G10" s="124">
        <f>F10/E10%</f>
        <v>32.438102802750429</v>
      </c>
      <c r="H10" s="142">
        <f>+K10+N10+Q10+T10+W10+Z10+AC10+AF10+AI10+AL10+AO10</f>
        <v>1698647</v>
      </c>
      <c r="I10" s="142">
        <f>+L10+O10+R10+U10+X10+AA10+AD10+AG10+AJ10+AM10+AP10</f>
        <v>697585.56900000025</v>
      </c>
      <c r="J10" s="143">
        <f>I10/H10%</f>
        <v>41.067129839219106</v>
      </c>
      <c r="K10" s="142">
        <f>+K9-K26-K36</f>
        <v>742000</v>
      </c>
      <c r="L10" s="142">
        <f>+L9-L26-L36</f>
        <v>260246.26700000008</v>
      </c>
      <c r="M10" s="124">
        <f>L10/K10%</f>
        <v>35.073620889487884</v>
      </c>
      <c r="N10" s="142">
        <f>+N9-N26-N36</f>
        <v>134800</v>
      </c>
      <c r="O10" s="142">
        <f>+O9-O26-O36</f>
        <v>62173.027000000002</v>
      </c>
      <c r="P10" s="124">
        <f>O10/N10%</f>
        <v>46.122423590504454</v>
      </c>
      <c r="Q10" s="142">
        <f>+Q9-Q26-Q36</f>
        <v>94000</v>
      </c>
      <c r="R10" s="142">
        <f>+R9-R26-R36</f>
        <v>62594.168000000012</v>
      </c>
      <c r="S10" s="124">
        <f>R10/Q10%</f>
        <v>66.589540425531922</v>
      </c>
      <c r="T10" s="142">
        <f>+T9-T26-T36</f>
        <v>145237</v>
      </c>
      <c r="U10" s="142">
        <f>+U9-U26-U36</f>
        <v>56561.52900000001</v>
      </c>
      <c r="V10" s="124">
        <f>U10/T10%</f>
        <v>38.944297252077646</v>
      </c>
      <c r="W10" s="142">
        <f>+W9-W26-W36</f>
        <v>84400</v>
      </c>
      <c r="X10" s="142">
        <f>+X9-X26-X36</f>
        <v>40681.222999999998</v>
      </c>
      <c r="Y10" s="124">
        <f>X10/W10%</f>
        <v>48.200501184834124</v>
      </c>
      <c r="Z10" s="142">
        <f>+Z9-Z26-Z36</f>
        <v>98450</v>
      </c>
      <c r="AA10" s="142">
        <f>+AA9-AA26-AA36</f>
        <v>42525.975000000006</v>
      </c>
      <c r="AB10" s="124">
        <f>AA10/Z10%</f>
        <v>43.195505332656175</v>
      </c>
      <c r="AC10" s="142">
        <f>+AC9-AC26-AC36</f>
        <v>81360</v>
      </c>
      <c r="AD10" s="142">
        <f>+AD9-AD26-AD36</f>
        <v>30098.876</v>
      </c>
      <c r="AE10" s="124">
        <f>AD10/AC10%</f>
        <v>36.994685349065882</v>
      </c>
      <c r="AF10" s="142">
        <f>+AF9-AF26-AF36</f>
        <v>84700</v>
      </c>
      <c r="AG10" s="142">
        <f>+AG9-AG26-AG36</f>
        <v>33559.530000000006</v>
      </c>
      <c r="AH10" s="124">
        <f>AG10/AF10%</f>
        <v>39.62164108618655</v>
      </c>
      <c r="AI10" s="142">
        <f>+AI9-AI26-AI36</f>
        <v>104300</v>
      </c>
      <c r="AJ10" s="142">
        <f>+AJ9-AJ26-AJ36</f>
        <v>50305.8</v>
      </c>
      <c r="AK10" s="124">
        <f>AJ10/AI10%</f>
        <v>48.231831255992333</v>
      </c>
      <c r="AL10" s="142">
        <f>+AL9-AL26-AL36</f>
        <v>71800</v>
      </c>
      <c r="AM10" s="142">
        <f>+AM9-AM26-AM36</f>
        <v>24505.375</v>
      </c>
      <c r="AN10" s="124">
        <f>AM10/AL10%</f>
        <v>34.130048746518106</v>
      </c>
      <c r="AO10" s="142">
        <f>+AO9-AO26-AO36</f>
        <v>57600</v>
      </c>
      <c r="AP10" s="142">
        <f>+AP9-AP26-AP36</f>
        <v>34333.799000000006</v>
      </c>
      <c r="AQ10" s="124">
        <f>AP10/AO10%</f>
        <v>59.607289930555567</v>
      </c>
    </row>
    <row r="11" spans="1:43" x14ac:dyDescent="0.25">
      <c r="A11" s="144" t="s">
        <v>66</v>
      </c>
      <c r="B11" s="5">
        <v>215000</v>
      </c>
      <c r="C11" s="5">
        <v>55306.012000000002</v>
      </c>
      <c r="D11" s="145">
        <f>C11/B11%</f>
        <v>25.723726511627909</v>
      </c>
      <c r="E11" s="5">
        <f>+B11-H11</f>
        <v>213753</v>
      </c>
      <c r="F11" s="5">
        <f>+C11-I11</f>
        <v>52922.294000000002</v>
      </c>
      <c r="G11" s="126">
        <f>F11/E11%</f>
        <v>24.758620463806356</v>
      </c>
      <c r="H11" s="5">
        <f>+K11+N11+Q11+T11+W11+Z11+AC11+AF11+AI11+AL11+AO11</f>
        <v>1247</v>
      </c>
      <c r="I11" s="5">
        <f>+L11+O11+R11+U11+X11+AA11+AD11+AG11+AJ11+AM11+AP11</f>
        <v>2383.7179999999998</v>
      </c>
      <c r="J11" s="145">
        <f>I11/H11%</f>
        <v>191.1562149157979</v>
      </c>
      <c r="K11" s="5">
        <v>117</v>
      </c>
      <c r="L11" s="5">
        <v>77.221999999999994</v>
      </c>
      <c r="M11" s="126">
        <f>L11/K11%</f>
        <v>66.001709401709405</v>
      </c>
      <c r="N11" s="5">
        <v>330</v>
      </c>
      <c r="O11" s="5">
        <v>826.4</v>
      </c>
      <c r="P11" s="126">
        <f>O11/N11%</f>
        <v>250.42424242424244</v>
      </c>
      <c r="Q11" s="5"/>
      <c r="R11" s="5"/>
      <c r="S11" s="126"/>
      <c r="T11" s="5">
        <v>550</v>
      </c>
      <c r="U11" s="5">
        <v>1180.691</v>
      </c>
      <c r="V11" s="126">
        <f>U11/T11%</f>
        <v>214.67109090909091</v>
      </c>
      <c r="W11" s="5">
        <v>200</v>
      </c>
      <c r="X11" s="5">
        <v>279.20499999999998</v>
      </c>
      <c r="Y11" s="126">
        <f>X11/W11%</f>
        <v>139.60249999999999</v>
      </c>
      <c r="Z11" s="5"/>
      <c r="AA11" s="5"/>
      <c r="AB11" s="126"/>
      <c r="AC11" s="5"/>
      <c r="AD11" s="5"/>
      <c r="AE11" s="126"/>
      <c r="AF11" s="5">
        <v>50</v>
      </c>
      <c r="AG11" s="5">
        <v>20.2</v>
      </c>
      <c r="AH11" s="126">
        <f>AG11/AF11%</f>
        <v>40.4</v>
      </c>
      <c r="AI11" s="5"/>
      <c r="AJ11" s="5"/>
      <c r="AK11" s="126"/>
      <c r="AL11" s="5"/>
      <c r="AM11" s="5"/>
      <c r="AN11" s="126"/>
      <c r="AO11" s="5"/>
      <c r="AP11" s="5">
        <v>0</v>
      </c>
      <c r="AQ11" s="126"/>
    </row>
    <row r="12" spans="1:43" s="125" customFormat="1" x14ac:dyDescent="0.25">
      <c r="A12" s="144" t="s">
        <v>67</v>
      </c>
      <c r="B12" s="146">
        <v>460000</v>
      </c>
      <c r="C12" s="146">
        <v>209519.321</v>
      </c>
      <c r="D12" s="8">
        <f>C12/B12%</f>
        <v>45.54767847826087</v>
      </c>
      <c r="E12" s="146">
        <f>+B12-H12</f>
        <v>443530</v>
      </c>
      <c r="F12" s="146">
        <f>+C12-I12</f>
        <v>201429.68899999998</v>
      </c>
      <c r="G12" s="126">
        <f>F12/E12%</f>
        <v>45.415121637769708</v>
      </c>
      <c r="H12" s="146">
        <f>+K12+N12+Q12+T12+W12+Z12+AC12+AF12+AI12+AL12+AO12</f>
        <v>16470</v>
      </c>
      <c r="I12" s="146">
        <f>+L12+O12+R12+U12+X12+AA12+AD12+AG12+AJ12+AM12+AP12</f>
        <v>8089.6320000000005</v>
      </c>
      <c r="J12" s="8">
        <f>I12/H12%</f>
        <v>49.117377049180334</v>
      </c>
      <c r="K12" s="146">
        <v>12000</v>
      </c>
      <c r="L12" s="146">
        <v>5196.7250000000004</v>
      </c>
      <c r="M12" s="126">
        <f>L12/K12%</f>
        <v>43.306041666666673</v>
      </c>
      <c r="N12" s="146">
        <v>720</v>
      </c>
      <c r="O12" s="146">
        <v>645.35</v>
      </c>
      <c r="P12" s="126">
        <f>O12/N12%</f>
        <v>89.631944444444443</v>
      </c>
      <c r="Q12" s="146">
        <v>950</v>
      </c>
      <c r="R12" s="146">
        <v>413.07600000000002</v>
      </c>
      <c r="S12" s="126">
        <f>R12/Q12%</f>
        <v>43.481684210526318</v>
      </c>
      <c r="T12" s="146">
        <v>600</v>
      </c>
      <c r="U12" s="146">
        <v>512.17399999999998</v>
      </c>
      <c r="V12" s="126">
        <f>U12/T12%</f>
        <v>85.362333333333325</v>
      </c>
      <c r="W12" s="146">
        <v>350</v>
      </c>
      <c r="X12" s="146">
        <v>218.08500000000001</v>
      </c>
      <c r="Y12" s="126">
        <f>X12/W12%</f>
        <v>62.31</v>
      </c>
      <c r="Z12" s="146">
        <v>30</v>
      </c>
      <c r="AA12" s="146">
        <v>270.14299999999997</v>
      </c>
      <c r="AB12" s="126">
        <f>AA12/Z12%</f>
        <v>900.47666666666657</v>
      </c>
      <c r="AC12" s="146">
        <v>200</v>
      </c>
      <c r="AD12" s="146">
        <v>134.19200000000001</v>
      </c>
      <c r="AE12" s="126">
        <f>AD12/AC12%</f>
        <v>67.096000000000004</v>
      </c>
      <c r="AF12" s="146">
        <v>500</v>
      </c>
      <c r="AG12" s="146">
        <v>383.721</v>
      </c>
      <c r="AH12" s="126">
        <f>AG12/AF12%</f>
        <v>76.744200000000006</v>
      </c>
      <c r="AI12" s="146">
        <v>500</v>
      </c>
      <c r="AJ12" s="146">
        <v>88.528000000000006</v>
      </c>
      <c r="AK12" s="126">
        <f>AJ12/AI12%</f>
        <v>17.7056</v>
      </c>
      <c r="AL12" s="146">
        <v>470</v>
      </c>
      <c r="AM12" s="146">
        <v>185.62299999999999</v>
      </c>
      <c r="AN12" s="126">
        <f>AM12/AL12%</f>
        <v>39.494255319148934</v>
      </c>
      <c r="AO12" s="146">
        <v>150</v>
      </c>
      <c r="AP12" s="146">
        <v>42.015000000000001</v>
      </c>
      <c r="AQ12" s="126">
        <f>AP12/AO12%</f>
        <v>28.01</v>
      </c>
    </row>
    <row r="13" spans="1:43" x14ac:dyDescent="0.25">
      <c r="A13" s="144" t="s">
        <v>69</v>
      </c>
      <c r="B13" s="147">
        <v>75000</v>
      </c>
      <c r="C13" s="147">
        <v>34541.279999999999</v>
      </c>
      <c r="D13" s="8">
        <f>C13/B13%</f>
        <v>46.055039999999998</v>
      </c>
      <c r="E13" s="147">
        <f>+B13-H13</f>
        <v>75000</v>
      </c>
      <c r="F13" s="147">
        <f>+C13-I13</f>
        <v>34541.279999999999</v>
      </c>
      <c r="G13" s="126">
        <f>F13/E13%</f>
        <v>46.055039999999998</v>
      </c>
      <c r="H13" s="147">
        <f>+K13+N13+Q13+T13+W13+Z13+AC13+AF13+AI13+AL13+AO13</f>
        <v>0</v>
      </c>
      <c r="I13" s="147">
        <f>+L13+O13+R13+U13+X13+AA13+AD13+AG13+AJ13+AM13+AP13</f>
        <v>0</v>
      </c>
      <c r="J13" s="8"/>
      <c r="K13" s="147">
        <v>0</v>
      </c>
      <c r="L13" s="147"/>
      <c r="M13" s="126"/>
      <c r="N13" s="147">
        <v>0</v>
      </c>
      <c r="O13" s="147"/>
      <c r="P13" s="126"/>
      <c r="Q13" s="147">
        <v>0</v>
      </c>
      <c r="R13" s="147"/>
      <c r="S13" s="126"/>
      <c r="T13" s="147">
        <v>0</v>
      </c>
      <c r="U13" s="147"/>
      <c r="V13" s="126"/>
      <c r="W13" s="147">
        <v>0</v>
      </c>
      <c r="X13" s="147"/>
      <c r="Y13" s="126"/>
      <c r="Z13" s="147">
        <v>0</v>
      </c>
      <c r="AA13" s="147"/>
      <c r="AB13" s="126"/>
      <c r="AC13" s="147">
        <v>0</v>
      </c>
      <c r="AD13" s="147"/>
      <c r="AE13" s="126"/>
      <c r="AF13" s="147">
        <v>0</v>
      </c>
      <c r="AG13" s="147"/>
      <c r="AH13" s="126"/>
      <c r="AI13" s="147">
        <v>0</v>
      </c>
      <c r="AJ13" s="147"/>
      <c r="AK13" s="126"/>
      <c r="AL13" s="147">
        <v>0</v>
      </c>
      <c r="AM13" s="147"/>
      <c r="AN13" s="126"/>
      <c r="AO13" s="147">
        <v>0</v>
      </c>
      <c r="AP13" s="147"/>
      <c r="AQ13" s="126"/>
    </row>
    <row r="14" spans="1:43" x14ac:dyDescent="0.25">
      <c r="A14" s="144" t="s">
        <v>70</v>
      </c>
      <c r="B14" s="146">
        <v>1350000</v>
      </c>
      <c r="C14" s="146">
        <v>572599.29299999995</v>
      </c>
      <c r="D14" s="8">
        <f>C14/B14%</f>
        <v>42.414762444444442</v>
      </c>
      <c r="E14" s="146">
        <f>+B14-H14</f>
        <v>664000</v>
      </c>
      <c r="F14" s="146">
        <f>+C14-I14</f>
        <v>227523.64899999998</v>
      </c>
      <c r="G14" s="126">
        <f>F14/E14%</f>
        <v>34.26560978915662</v>
      </c>
      <c r="H14" s="146">
        <f>+K14+N14+Q14+T14+W14+Z14+AC14+AF14+AI14+AL14+AO14</f>
        <v>686000</v>
      </c>
      <c r="I14" s="146">
        <f>+L14+O14+R14+U14+X14+AA14+AD14+AG14+AJ14+AM14+AP14</f>
        <v>345075.64399999997</v>
      </c>
      <c r="J14" s="8">
        <f>I14/H14%</f>
        <v>50.302572011661802</v>
      </c>
      <c r="K14" s="146">
        <v>320000</v>
      </c>
      <c r="L14" s="146">
        <v>163763.367</v>
      </c>
      <c r="M14" s="126">
        <f>L14/K14%</f>
        <v>51.176052187499998</v>
      </c>
      <c r="N14" s="146">
        <v>52000</v>
      </c>
      <c r="O14" s="146">
        <v>16720.116999999998</v>
      </c>
      <c r="P14" s="126">
        <f>O14/N14%</f>
        <v>32.154071153846154</v>
      </c>
      <c r="Q14" s="146">
        <v>38000</v>
      </c>
      <c r="R14" s="146">
        <v>39748.648000000001</v>
      </c>
      <c r="S14" s="126">
        <f>R14/Q14%</f>
        <v>104.6017052631579</v>
      </c>
      <c r="T14" s="146">
        <v>48000</v>
      </c>
      <c r="U14" s="146">
        <v>21407.312999999998</v>
      </c>
      <c r="V14" s="126">
        <f>U14/T14%</f>
        <v>44.598568749999998</v>
      </c>
      <c r="W14" s="146">
        <v>25500</v>
      </c>
      <c r="X14" s="146">
        <v>11683.200999999999</v>
      </c>
      <c r="Y14" s="126">
        <f>X14/W14%</f>
        <v>45.816474509803918</v>
      </c>
      <c r="Z14" s="146">
        <v>33000</v>
      </c>
      <c r="AA14" s="146">
        <v>13785.446</v>
      </c>
      <c r="AB14" s="126">
        <f>AA14/Z14%</f>
        <v>41.774078787878786</v>
      </c>
      <c r="AC14" s="146">
        <v>26500</v>
      </c>
      <c r="AD14" s="146">
        <v>11977.504999999999</v>
      </c>
      <c r="AE14" s="126">
        <f>AD14/AC14%</f>
        <v>45.198132075471698</v>
      </c>
      <c r="AF14" s="146">
        <v>34000</v>
      </c>
      <c r="AG14" s="146">
        <v>15118.948</v>
      </c>
      <c r="AH14" s="126">
        <f>AG14/AF14%</f>
        <v>44.467494117647057</v>
      </c>
      <c r="AI14" s="146">
        <v>57000</v>
      </c>
      <c r="AJ14" s="146">
        <v>25165.162</v>
      </c>
      <c r="AK14" s="126">
        <f>AJ14/AI14%</f>
        <v>44.149407017543858</v>
      </c>
      <c r="AL14" s="146">
        <v>31000</v>
      </c>
      <c r="AM14" s="146">
        <v>6621.4669999999996</v>
      </c>
      <c r="AN14" s="126">
        <f>AM14/AL14%</f>
        <v>21.359570967741934</v>
      </c>
      <c r="AO14" s="146">
        <v>21000</v>
      </c>
      <c r="AP14" s="146">
        <v>19084.47</v>
      </c>
      <c r="AQ14" s="126">
        <f>AP14/AO14%</f>
        <v>90.878428571428572</v>
      </c>
    </row>
    <row r="15" spans="1:43" x14ac:dyDescent="0.25">
      <c r="A15" s="144" t="s">
        <v>4</v>
      </c>
      <c r="B15" s="5">
        <v>355000</v>
      </c>
      <c r="C15" s="5">
        <v>74600.911999999997</v>
      </c>
      <c r="D15" s="145">
        <f>C15/B15%</f>
        <v>21.014341408450704</v>
      </c>
      <c r="E15" s="5">
        <f>+B15-H15</f>
        <v>0</v>
      </c>
      <c r="F15" s="5">
        <f>+C15-I15</f>
        <v>4.0000000008149073E-3</v>
      </c>
      <c r="G15" s="126"/>
      <c r="H15" s="5">
        <f>+K15+N15+Q15+T15+W15+Z15+AC15+AF15+AI15+AL15+AO15</f>
        <v>355000</v>
      </c>
      <c r="I15" s="5">
        <f>+L15+O15+R15+U15+X15+AA15+AD15+AG15+AJ15+AM15+AP15</f>
        <v>74600.907999999996</v>
      </c>
      <c r="J15" s="145">
        <f>I15/H15%</f>
        <v>21.014340281690139</v>
      </c>
      <c r="K15" s="5">
        <v>198300</v>
      </c>
      <c r="L15" s="5">
        <v>19176.716</v>
      </c>
      <c r="M15" s="126">
        <f>L15/K15%</f>
        <v>9.670557740796772</v>
      </c>
      <c r="N15" s="5">
        <v>17000</v>
      </c>
      <c r="O15" s="5">
        <v>6115.3469999999998</v>
      </c>
      <c r="P15" s="126">
        <f>O15/N15%</f>
        <v>35.972629411764707</v>
      </c>
      <c r="Q15" s="5">
        <v>20000</v>
      </c>
      <c r="R15" s="5">
        <v>6095.3360000000002</v>
      </c>
      <c r="S15" s="126">
        <f>R15/Q15%</f>
        <v>30.476680000000002</v>
      </c>
      <c r="T15" s="5">
        <v>26400</v>
      </c>
      <c r="U15" s="5">
        <v>9456.2510000000002</v>
      </c>
      <c r="V15" s="126">
        <f>U15/T15%</f>
        <v>35.819132575757578</v>
      </c>
      <c r="W15" s="5">
        <v>15000</v>
      </c>
      <c r="X15" s="5">
        <v>4311.6530000000002</v>
      </c>
      <c r="Y15" s="126">
        <f>X15/W15%</f>
        <v>28.744353333333336</v>
      </c>
      <c r="Z15" s="5">
        <v>15000</v>
      </c>
      <c r="AA15" s="5">
        <v>6399.1970000000001</v>
      </c>
      <c r="AB15" s="126">
        <f>AA15/Z15%</f>
        <v>42.661313333333332</v>
      </c>
      <c r="AC15" s="5">
        <v>18000</v>
      </c>
      <c r="AD15" s="5">
        <v>5363.9340000000002</v>
      </c>
      <c r="AE15" s="126">
        <f>AD15/AC15%</f>
        <v>29.799633333333336</v>
      </c>
      <c r="AF15" s="5">
        <v>14500</v>
      </c>
      <c r="AG15" s="5">
        <v>4729.1790000000001</v>
      </c>
      <c r="AH15" s="126">
        <f>AG15/AF15%</f>
        <v>32.615027586206899</v>
      </c>
      <c r="AI15" s="5">
        <v>12000</v>
      </c>
      <c r="AJ15" s="5">
        <v>4173.21</v>
      </c>
      <c r="AK15" s="126">
        <f>AJ15/AI15%</f>
        <v>34.77675</v>
      </c>
      <c r="AL15" s="5">
        <v>8800</v>
      </c>
      <c r="AM15" s="5">
        <v>3713.1840000000002</v>
      </c>
      <c r="AN15" s="126">
        <f>AM15/AL15%</f>
        <v>42.19527272727273</v>
      </c>
      <c r="AO15" s="5">
        <v>10000</v>
      </c>
      <c r="AP15" s="5">
        <v>5066.9009999999998</v>
      </c>
      <c r="AQ15" s="126">
        <f>AP15/AO15%</f>
        <v>50.66901</v>
      </c>
    </row>
    <row r="16" spans="1:43" x14ac:dyDescent="0.25">
      <c r="A16" s="144" t="s">
        <v>5</v>
      </c>
      <c r="B16" s="5">
        <v>17000</v>
      </c>
      <c r="C16" s="5">
        <v>4579.5450000000001</v>
      </c>
      <c r="D16" s="145">
        <f>C16/B16%</f>
        <v>26.938500000000001</v>
      </c>
      <c r="E16" s="5">
        <f>+B16-H16</f>
        <v>0</v>
      </c>
      <c r="F16" s="5">
        <f>+C16-I16</f>
        <v>5.0000000010186341E-3</v>
      </c>
      <c r="G16" s="126"/>
      <c r="H16" s="5">
        <f>+K16+N16+Q16+T16+W16+Z16+AC16+AF16+AI16+AL16+AO16</f>
        <v>17000</v>
      </c>
      <c r="I16" s="5">
        <f>+L16+O16+R16+U16+X16+AA16+AD16+AG16+AJ16+AM16+AP16</f>
        <v>4579.5399999999991</v>
      </c>
      <c r="J16" s="145">
        <f>I16/H16%</f>
        <v>26.938470588235287</v>
      </c>
      <c r="K16" s="5">
        <v>12188</v>
      </c>
      <c r="L16" s="5">
        <v>4042.665</v>
      </c>
      <c r="M16" s="126">
        <f>L16/K16%</f>
        <v>33.169223826714806</v>
      </c>
      <c r="N16" s="5">
        <v>2800</v>
      </c>
      <c r="O16" s="5">
        <v>256.334</v>
      </c>
      <c r="P16" s="126">
        <f>O16/N16%</f>
        <v>9.1547857142857136</v>
      </c>
      <c r="Q16" s="5">
        <v>280</v>
      </c>
      <c r="R16" s="5">
        <v>99.872</v>
      </c>
      <c r="S16" s="126">
        <f>R16/Q16%</f>
        <v>35.668571428571433</v>
      </c>
      <c r="T16" s="5">
        <v>600</v>
      </c>
      <c r="U16" s="5">
        <v>28.963000000000001</v>
      </c>
      <c r="V16" s="126">
        <f>U16/T16%</f>
        <v>4.8271666666666668</v>
      </c>
      <c r="W16" s="5">
        <v>112</v>
      </c>
      <c r="X16" s="5">
        <v>27.5</v>
      </c>
      <c r="Y16" s="126">
        <f>X16/W16%</f>
        <v>24.553571428571427</v>
      </c>
      <c r="Z16" s="5">
        <v>350</v>
      </c>
      <c r="AA16" s="5">
        <v>15.914</v>
      </c>
      <c r="AB16" s="126">
        <f>AA16/Z16%</f>
        <v>4.5468571428571432</v>
      </c>
      <c r="AC16" s="5">
        <v>300</v>
      </c>
      <c r="AD16" s="5">
        <v>28.61</v>
      </c>
      <c r="AE16" s="126">
        <f>AD16/AC16%</f>
        <v>9.5366666666666671</v>
      </c>
      <c r="AF16" s="5">
        <v>100</v>
      </c>
      <c r="AG16" s="5">
        <v>7.08</v>
      </c>
      <c r="AH16" s="126">
        <f>AG16/AF16%</f>
        <v>7.08</v>
      </c>
      <c r="AI16" s="5">
        <v>200</v>
      </c>
      <c r="AJ16" s="5">
        <v>54.95</v>
      </c>
      <c r="AK16" s="126">
        <f>AJ16/AI16%</f>
        <v>27.475000000000001</v>
      </c>
      <c r="AL16" s="5">
        <v>30</v>
      </c>
      <c r="AM16" s="5">
        <v>6.2690000000000001</v>
      </c>
      <c r="AN16" s="126">
        <f>AM16/AL16%</f>
        <v>20.896666666666668</v>
      </c>
      <c r="AO16" s="5">
        <v>40</v>
      </c>
      <c r="AP16" s="5">
        <v>11.382999999999999</v>
      </c>
      <c r="AQ16" s="126">
        <f>AP16/AO16%</f>
        <v>28.457499999999996</v>
      </c>
    </row>
    <row r="17" spans="1:43" x14ac:dyDescent="0.25">
      <c r="A17" s="144" t="s">
        <v>6</v>
      </c>
      <c r="B17" s="5">
        <v>720000</v>
      </c>
      <c r="C17" s="5">
        <v>230246.905</v>
      </c>
      <c r="D17" s="145">
        <f>C17/B17%</f>
        <v>31.978736805555556</v>
      </c>
      <c r="E17" s="5">
        <f>+B17-H17</f>
        <v>378700</v>
      </c>
      <c r="F17" s="5">
        <f>+C17-I17</f>
        <v>133458.69</v>
      </c>
      <c r="G17" s="126">
        <f>F17/E17%</f>
        <v>35.241270134671247</v>
      </c>
      <c r="H17" s="5">
        <f>+K17+N17+Q17+T17+W17+Z17+AC17+AF17+AI17+AL17+AO17</f>
        <v>341300</v>
      </c>
      <c r="I17" s="5">
        <f>+L17+O17+R17+U17+X17+AA17+AD17+AG17+AJ17+AM17+AP17</f>
        <v>96788.214999999997</v>
      </c>
      <c r="J17" s="145">
        <f>I17/H17%</f>
        <v>28.358691766774097</v>
      </c>
      <c r="K17" s="5">
        <v>128000</v>
      </c>
      <c r="L17" s="5">
        <v>32430.17</v>
      </c>
      <c r="M17" s="126">
        <f>L17/K17%</f>
        <v>25.336070312499999</v>
      </c>
      <c r="N17" s="5">
        <v>37000</v>
      </c>
      <c r="O17" s="5">
        <v>9975.3289999999997</v>
      </c>
      <c r="P17" s="126">
        <f>O17/N17%</f>
        <v>26.960348648648647</v>
      </c>
      <c r="Q17" s="5">
        <v>16000</v>
      </c>
      <c r="R17" s="5">
        <v>4814.9960000000001</v>
      </c>
      <c r="S17" s="126">
        <f>R17/Q17%</f>
        <v>30.093724999999999</v>
      </c>
      <c r="T17" s="5">
        <v>28000</v>
      </c>
      <c r="U17" s="5">
        <v>8851.3709999999992</v>
      </c>
      <c r="V17" s="126">
        <f>U17/T17%</f>
        <v>31.612039285714282</v>
      </c>
      <c r="W17" s="5">
        <v>20000</v>
      </c>
      <c r="X17" s="5">
        <v>5460.2439999999997</v>
      </c>
      <c r="Y17" s="126">
        <f>X17/W17%</f>
        <v>27.301219999999997</v>
      </c>
      <c r="Z17" s="5">
        <v>27000</v>
      </c>
      <c r="AA17" s="5">
        <v>9576.625</v>
      </c>
      <c r="AB17" s="126">
        <f>AA17/Z17%</f>
        <v>35.468981481481478</v>
      </c>
      <c r="AC17" s="5">
        <v>22000</v>
      </c>
      <c r="AD17" s="5">
        <v>4937.0039999999999</v>
      </c>
      <c r="AE17" s="126">
        <f>AD17/AC17%</f>
        <v>22.440927272727272</v>
      </c>
      <c r="AF17" s="5">
        <v>20900</v>
      </c>
      <c r="AG17" s="5">
        <v>6460.2780000000002</v>
      </c>
      <c r="AH17" s="126">
        <f>AG17/AF17%</f>
        <v>30.91042105263158</v>
      </c>
      <c r="AI17" s="5">
        <v>18700</v>
      </c>
      <c r="AJ17" s="5">
        <v>4482.72</v>
      </c>
      <c r="AK17" s="126">
        <f>AJ17/AI17%</f>
        <v>23.971764705882354</v>
      </c>
      <c r="AL17" s="5">
        <v>14000</v>
      </c>
      <c r="AM17" s="5">
        <v>6502.7579999999998</v>
      </c>
      <c r="AN17" s="126">
        <f>AM17/AL17%</f>
        <v>46.448271428571424</v>
      </c>
      <c r="AO17" s="5">
        <v>9700</v>
      </c>
      <c r="AP17" s="5">
        <v>3296.72</v>
      </c>
      <c r="AQ17" s="126">
        <f>AP17/AO17%</f>
        <v>33.986804123711337</v>
      </c>
    </row>
    <row r="18" spans="1:43" x14ac:dyDescent="0.25">
      <c r="A18" s="144" t="s">
        <v>71</v>
      </c>
      <c r="B18" s="5">
        <v>410000</v>
      </c>
      <c r="C18" s="5">
        <v>100699.33</v>
      </c>
      <c r="D18" s="145">
        <f>C18/B18%</f>
        <v>24.560812195121951</v>
      </c>
      <c r="E18" s="5">
        <f>+B18-H18</f>
        <v>407000</v>
      </c>
      <c r="F18" s="5">
        <f>+C18-I18</f>
        <v>99558.33</v>
      </c>
      <c r="G18" s="126">
        <f>F18/E18%</f>
        <v>24.461506142506142</v>
      </c>
      <c r="H18" s="5">
        <f>+K18+N18+Q18+T18+W18+Z18+AC18+AF18+AI18+AL18+AO18</f>
        <v>3000</v>
      </c>
      <c r="I18" s="5">
        <f>+L18+O18+R18+U18+X18+AA18+AD18+AG18+AJ18+AM18+AP18</f>
        <v>1141</v>
      </c>
      <c r="J18" s="145">
        <f>I18/H18%</f>
        <v>38.033333333333331</v>
      </c>
      <c r="K18" s="5"/>
      <c r="L18" s="5"/>
      <c r="M18" s="126"/>
      <c r="N18" s="5"/>
      <c r="O18" s="5"/>
      <c r="P18" s="126"/>
      <c r="Q18" s="5"/>
      <c r="R18" s="5"/>
      <c r="S18" s="126"/>
      <c r="T18" s="5"/>
      <c r="U18" s="5"/>
      <c r="V18" s="126"/>
      <c r="W18" s="5"/>
      <c r="X18" s="5"/>
      <c r="Y18" s="126"/>
      <c r="Z18" s="5"/>
      <c r="AA18" s="5"/>
      <c r="AB18" s="126"/>
      <c r="AC18" s="5"/>
      <c r="AD18" s="5"/>
      <c r="AE18" s="126"/>
      <c r="AF18" s="5"/>
      <c r="AG18" s="5"/>
      <c r="AH18" s="126"/>
      <c r="AI18" s="5"/>
      <c r="AJ18" s="5"/>
      <c r="AK18" s="126"/>
      <c r="AL18" s="5">
        <v>3000</v>
      </c>
      <c r="AM18" s="5">
        <v>1141</v>
      </c>
      <c r="AN18" s="126">
        <f>AM18/AL18%</f>
        <v>38.033333333333331</v>
      </c>
      <c r="AO18" s="5"/>
      <c r="AP18" s="5"/>
      <c r="AQ18" s="126"/>
    </row>
    <row r="19" spans="1:43" x14ac:dyDescent="0.25">
      <c r="A19" s="148" t="s">
        <v>7</v>
      </c>
      <c r="B19" s="6">
        <v>164000</v>
      </c>
      <c r="C19" s="6">
        <v>52363.652000000002</v>
      </c>
      <c r="D19" s="149">
        <f>C19/B19%</f>
        <v>31.929056097560977</v>
      </c>
      <c r="E19" s="6">
        <f>+B19-H19</f>
        <v>162800</v>
      </c>
      <c r="F19" s="6">
        <f>+C19-I19</f>
        <v>51770.332000000002</v>
      </c>
      <c r="G19" s="126">
        <f>F19/E19%</f>
        <v>31.799958230958232</v>
      </c>
      <c r="H19" s="6">
        <f>+K19+N19+Q19+T19+W19+Z19+AC19+AF19+AI19+AL19+AO19</f>
        <v>1200</v>
      </c>
      <c r="I19" s="6">
        <f>+L19+O19+R19+U19+X19+AA19+AD19+AG19+AJ19+AM19+AP19</f>
        <v>593.32000000000005</v>
      </c>
      <c r="J19" s="149">
        <f>I19/H19%</f>
        <v>49.443333333333335</v>
      </c>
      <c r="K19" s="6"/>
      <c r="L19" s="6"/>
      <c r="M19" s="126"/>
      <c r="N19" s="6"/>
      <c r="O19" s="6"/>
      <c r="P19" s="126"/>
      <c r="Q19" s="6"/>
      <c r="R19" s="6"/>
      <c r="S19" s="126"/>
      <c r="T19" s="6"/>
      <c r="U19" s="6"/>
      <c r="V19" s="126"/>
      <c r="W19" s="6"/>
      <c r="X19" s="6"/>
      <c r="Y19" s="126"/>
      <c r="Z19" s="6"/>
      <c r="AA19" s="6"/>
      <c r="AB19" s="126"/>
      <c r="AC19" s="6"/>
      <c r="AD19" s="6"/>
      <c r="AE19" s="126"/>
      <c r="AF19" s="6"/>
      <c r="AG19" s="6"/>
      <c r="AH19" s="126"/>
      <c r="AI19" s="6"/>
      <c r="AJ19" s="6"/>
      <c r="AK19" s="126"/>
      <c r="AL19" s="6">
        <v>1200</v>
      </c>
      <c r="AM19" s="6">
        <v>593.32000000000005</v>
      </c>
      <c r="AN19" s="126">
        <f>AM19/AL19%</f>
        <v>49.443333333333335</v>
      </c>
      <c r="AO19" s="6"/>
      <c r="AP19" s="6"/>
      <c r="AQ19" s="126"/>
    </row>
    <row r="20" spans="1:43" s="125" customFormat="1" x14ac:dyDescent="0.25">
      <c r="A20" s="148" t="s">
        <v>8</v>
      </c>
      <c r="B20" s="6">
        <f>+B18-B19</f>
        <v>246000</v>
      </c>
      <c r="C20" s="6">
        <f>+C18-C19</f>
        <v>48335.678</v>
      </c>
      <c r="D20" s="149">
        <f>C20/B20%</f>
        <v>19.648649593495936</v>
      </c>
      <c r="E20" s="6">
        <f>+B20-H20</f>
        <v>244200</v>
      </c>
      <c r="F20" s="6">
        <f>+C20-I20</f>
        <v>47787.998</v>
      </c>
      <c r="G20" s="127">
        <f>F20/E20%</f>
        <v>19.569204750204751</v>
      </c>
      <c r="H20" s="6">
        <f>+K20+N20+Q20+T20+W20+Z20+AC20+AF20+AI20+AL20+AO20</f>
        <v>1800</v>
      </c>
      <c r="I20" s="6">
        <f>+L20+O20+R20+U20+X20+AA20+AD20+AG20+AJ20+AM20+AP20</f>
        <v>547.67999999999995</v>
      </c>
      <c r="J20" s="149">
        <f>I20/H20%</f>
        <v>30.426666666666662</v>
      </c>
      <c r="K20" s="6">
        <f>+K18-K19</f>
        <v>0</v>
      </c>
      <c r="L20" s="6">
        <f>+L18-L19</f>
        <v>0</v>
      </c>
      <c r="M20" s="127"/>
      <c r="N20" s="6">
        <f>+N18-N19</f>
        <v>0</v>
      </c>
      <c r="O20" s="6">
        <f>+O18-O19</f>
        <v>0</v>
      </c>
      <c r="P20" s="127"/>
      <c r="Q20" s="6">
        <f>+Q18-Q19</f>
        <v>0</v>
      </c>
      <c r="R20" s="6">
        <f>+R18-R19</f>
        <v>0</v>
      </c>
      <c r="S20" s="127"/>
      <c r="T20" s="6">
        <f>+T18-T19</f>
        <v>0</v>
      </c>
      <c r="U20" s="6">
        <f>+U18-U19</f>
        <v>0</v>
      </c>
      <c r="V20" s="127"/>
      <c r="W20" s="6">
        <f>+W18-W19</f>
        <v>0</v>
      </c>
      <c r="X20" s="6">
        <f>+X18-X19</f>
        <v>0</v>
      </c>
      <c r="Y20" s="127"/>
      <c r="Z20" s="6">
        <f>+Z18-Z19</f>
        <v>0</v>
      </c>
      <c r="AA20" s="6">
        <f>+AA18-AA19</f>
        <v>0</v>
      </c>
      <c r="AB20" s="127"/>
      <c r="AC20" s="6">
        <f>+AC18-AC19</f>
        <v>0</v>
      </c>
      <c r="AD20" s="6">
        <f>+AD18-AD19</f>
        <v>0</v>
      </c>
      <c r="AE20" s="127"/>
      <c r="AF20" s="6">
        <f>+AF18-AF19</f>
        <v>0</v>
      </c>
      <c r="AG20" s="6">
        <f>+AG18-AG19</f>
        <v>0</v>
      </c>
      <c r="AH20" s="127"/>
      <c r="AI20" s="6">
        <f>+AI18-AI19</f>
        <v>0</v>
      </c>
      <c r="AJ20" s="6">
        <f>+AJ18-AJ19</f>
        <v>0</v>
      </c>
      <c r="AK20" s="127"/>
      <c r="AL20" s="6">
        <f>+AL18-AL19</f>
        <v>1800</v>
      </c>
      <c r="AM20" s="6">
        <f>+AM18-AM19</f>
        <v>547.67999999999995</v>
      </c>
      <c r="AN20" s="127"/>
      <c r="AO20" s="6">
        <f>+AO18-AO19</f>
        <v>0</v>
      </c>
      <c r="AP20" s="6">
        <f>+AP18-AP19</f>
        <v>0</v>
      </c>
      <c r="AQ20" s="127"/>
    </row>
    <row r="21" spans="1:43" x14ac:dyDescent="0.25">
      <c r="A21" s="144" t="s">
        <v>9</v>
      </c>
      <c r="B21" s="5">
        <v>240000</v>
      </c>
      <c r="C21" s="5">
        <v>90525.053</v>
      </c>
      <c r="D21" s="145">
        <f>C21/B21%</f>
        <v>37.718772083333334</v>
      </c>
      <c r="E21" s="5">
        <f>+B21-H21</f>
        <v>174685</v>
      </c>
      <c r="F21" s="5">
        <f>+C21-I21</f>
        <v>15446.321000000011</v>
      </c>
      <c r="G21" s="126">
        <f>F21/E21%</f>
        <v>8.8423854366431076</v>
      </c>
      <c r="H21" s="5">
        <f>+K21+N21+Q21+T21+W21+Z21+AC21+AF21+AI21+AL21+AO21</f>
        <v>65315</v>
      </c>
      <c r="I21" s="5">
        <f>+L21+O21+R21+U21+X21+AA21+AD21+AG21+AJ21+AM21+AP21</f>
        <v>75078.731999999989</v>
      </c>
      <c r="J21" s="145">
        <f>I21/H21%</f>
        <v>114.94868253846741</v>
      </c>
      <c r="K21" s="5">
        <v>16635</v>
      </c>
      <c r="L21" s="5">
        <v>16216.933999999999</v>
      </c>
      <c r="M21" s="126">
        <f>L21/K21%</f>
        <v>97.486828975052603</v>
      </c>
      <c r="N21" s="5">
        <v>6500</v>
      </c>
      <c r="O21" s="5">
        <v>21903.692999999999</v>
      </c>
      <c r="P21" s="126">
        <f>O21/N21%</f>
        <v>336.9798923076923</v>
      </c>
      <c r="Q21" s="5">
        <v>5500</v>
      </c>
      <c r="R21" s="5">
        <v>6657.1639999999998</v>
      </c>
      <c r="S21" s="126">
        <f>R21/Q21%</f>
        <v>121.03934545454545</v>
      </c>
      <c r="T21" s="5">
        <v>8980</v>
      </c>
      <c r="U21" s="5">
        <v>5154.2280000000001</v>
      </c>
      <c r="V21" s="126">
        <f>U21/T21%</f>
        <v>57.396748329621381</v>
      </c>
      <c r="W21" s="5">
        <v>3500</v>
      </c>
      <c r="X21" s="5">
        <v>2387.3980000000001</v>
      </c>
      <c r="Y21" s="126">
        <f>X21/W21%</f>
        <v>68.211371428571439</v>
      </c>
      <c r="Z21" s="5">
        <v>5900</v>
      </c>
      <c r="AA21" s="5">
        <v>2465.5810000000001</v>
      </c>
      <c r="AB21" s="126">
        <f>AA21/Z21%</f>
        <v>41.789508474576273</v>
      </c>
      <c r="AC21" s="5">
        <v>3700</v>
      </c>
      <c r="AD21" s="5">
        <v>1968.481</v>
      </c>
      <c r="AE21" s="126">
        <f>AD21/AC21%</f>
        <v>53.202189189189191</v>
      </c>
      <c r="AF21" s="5">
        <v>3700</v>
      </c>
      <c r="AG21" s="5">
        <v>2176.5729999999999</v>
      </c>
      <c r="AH21" s="126">
        <f>AG21/AF21%</f>
        <v>58.826297297297295</v>
      </c>
      <c r="AI21" s="5">
        <v>4000</v>
      </c>
      <c r="AJ21" s="5">
        <v>11059.263999999999</v>
      </c>
      <c r="AK21" s="126">
        <f>AJ21/AI21%</f>
        <v>276.48159999999996</v>
      </c>
      <c r="AL21" s="5">
        <v>4000</v>
      </c>
      <c r="AM21" s="5">
        <v>2609.7919999999999</v>
      </c>
      <c r="AN21" s="126">
        <f>AM21/AL21%</f>
        <v>65.244799999999998</v>
      </c>
      <c r="AO21" s="5">
        <v>2900</v>
      </c>
      <c r="AP21" s="5">
        <v>2479.6239999999998</v>
      </c>
      <c r="AQ21" s="126">
        <f>AP21/AO21%</f>
        <v>85.504275862068965</v>
      </c>
    </row>
    <row r="22" spans="1:43" x14ac:dyDescent="0.25">
      <c r="A22" s="148" t="s">
        <v>10</v>
      </c>
      <c r="B22" s="6">
        <v>80000</v>
      </c>
      <c r="C22" s="6">
        <v>11292.258</v>
      </c>
      <c r="D22" s="149">
        <f>C22/B22%</f>
        <v>14.1153225</v>
      </c>
      <c r="E22" s="6">
        <f>+B22-H22</f>
        <v>55800</v>
      </c>
      <c r="F22" s="6">
        <f>+C22-I22</f>
        <v>3137.4170000000004</v>
      </c>
      <c r="G22" s="126">
        <f>F22/E22%</f>
        <v>5.6226111111111114</v>
      </c>
      <c r="H22" s="6">
        <f>+K22+N22+Q22+T22+W22+Z22+AC22+AF22+AI22+AL22+AO22</f>
        <v>24200</v>
      </c>
      <c r="I22" s="6">
        <f>+L22+O22+R22+U22+X22+AA22+AD22+AG22+AJ22+AM22+AP22</f>
        <v>8154.8409999999994</v>
      </c>
      <c r="J22" s="149">
        <f>I22/H22%</f>
        <v>33.697690082644627</v>
      </c>
      <c r="K22" s="6">
        <v>6500</v>
      </c>
      <c r="L22" s="6">
        <v>1968.8579999999999</v>
      </c>
      <c r="M22" s="126">
        <f>L22/K22%</f>
        <v>30.290123076923077</v>
      </c>
      <c r="N22" s="6">
        <v>1400</v>
      </c>
      <c r="O22" s="6">
        <v>892.87300000000005</v>
      </c>
      <c r="P22" s="126">
        <f>O22/N22%</f>
        <v>63.776642857142861</v>
      </c>
      <c r="Q22" s="6">
        <v>2500</v>
      </c>
      <c r="R22" s="6">
        <v>1290.8969999999999</v>
      </c>
      <c r="S22" s="126">
        <f>R22/Q22%</f>
        <v>51.63588</v>
      </c>
      <c r="T22" s="6">
        <v>3200</v>
      </c>
      <c r="U22" s="6">
        <v>734.34299999999996</v>
      </c>
      <c r="V22" s="126">
        <f>U22/T22%</f>
        <v>22.948218749999999</v>
      </c>
      <c r="W22" s="6">
        <v>1500</v>
      </c>
      <c r="X22" s="6">
        <v>596.73900000000003</v>
      </c>
      <c r="Y22" s="126">
        <f>X22/W22%</f>
        <v>39.782600000000002</v>
      </c>
      <c r="Z22" s="6">
        <v>1760</v>
      </c>
      <c r="AA22" s="6">
        <v>615.72699999999998</v>
      </c>
      <c r="AB22" s="126">
        <f>AA22/Z22%</f>
        <v>34.984488636363629</v>
      </c>
      <c r="AC22" s="6">
        <v>1600</v>
      </c>
      <c r="AD22" s="6">
        <v>465.10899999999998</v>
      </c>
      <c r="AE22" s="126">
        <f>AD22/AC22%</f>
        <v>29.069312499999999</v>
      </c>
      <c r="AF22" s="6">
        <v>1450</v>
      </c>
      <c r="AG22" s="6">
        <v>428.613</v>
      </c>
      <c r="AH22" s="126">
        <f>AG22/AF22%</f>
        <v>29.559517241379311</v>
      </c>
      <c r="AI22" s="6">
        <v>1550</v>
      </c>
      <c r="AJ22" s="6">
        <v>423.57400000000001</v>
      </c>
      <c r="AK22" s="126">
        <f>AJ22/AI22%</f>
        <v>27.327354838709677</v>
      </c>
      <c r="AL22" s="6">
        <v>1840</v>
      </c>
      <c r="AM22" s="6">
        <v>738.10799999999995</v>
      </c>
      <c r="AN22" s="126">
        <f>AM22/AL22%</f>
        <v>40.114565217391302</v>
      </c>
      <c r="AO22" s="6">
        <v>900</v>
      </c>
      <c r="AP22" s="6">
        <v>0</v>
      </c>
      <c r="AQ22" s="126">
        <f>AP22/AO22%</f>
        <v>0</v>
      </c>
    </row>
    <row r="23" spans="1:43" hidden="1" x14ac:dyDescent="0.25">
      <c r="A23" s="144" t="s">
        <v>109</v>
      </c>
      <c r="B23" s="5">
        <v>118885</v>
      </c>
      <c r="C23" s="5">
        <v>31960.843000000001</v>
      </c>
      <c r="D23" s="145">
        <f>C23/B23%</f>
        <v>26.883831433738489</v>
      </c>
      <c r="E23" s="5">
        <f>+B23-H23</f>
        <v>118885</v>
      </c>
      <c r="F23" s="5">
        <f>+C23-I23</f>
        <v>12307.907999999999</v>
      </c>
      <c r="G23" s="126">
        <f>F23/E23%</f>
        <v>10.352784623796106</v>
      </c>
      <c r="H23" s="5">
        <f>+K23+N23+Q23+T23+W23+Z23+AC23+AF23+AI23+AL23+AO23</f>
        <v>0</v>
      </c>
      <c r="I23" s="5">
        <f>+L23+O23+R23+U23+X23+AA23+AD23+AG23+AJ23+AM23+AP23</f>
        <v>19652.935000000001</v>
      </c>
      <c r="J23" s="145"/>
      <c r="K23" s="5"/>
      <c r="L23" s="5">
        <v>43.966000000000001</v>
      </c>
      <c r="M23" s="126"/>
      <c r="N23" s="5"/>
      <c r="O23" s="5">
        <v>18747.511999999999</v>
      </c>
      <c r="P23" s="126"/>
      <c r="Q23" s="5"/>
      <c r="R23" s="5">
        <v>21.106999999999999</v>
      </c>
      <c r="S23" s="126"/>
      <c r="T23" s="5"/>
      <c r="U23" s="5">
        <v>23.928999999999998</v>
      </c>
      <c r="V23" s="126"/>
      <c r="W23" s="5"/>
      <c r="X23" s="5">
        <v>1.865</v>
      </c>
      <c r="Y23" s="126"/>
      <c r="Z23" s="5"/>
      <c r="AA23" s="5">
        <v>9.9649999999999999</v>
      </c>
      <c r="AB23" s="126"/>
      <c r="AC23" s="5"/>
      <c r="AD23" s="5">
        <v>6</v>
      </c>
      <c r="AE23" s="126"/>
      <c r="AF23" s="5"/>
      <c r="AG23" s="5">
        <v>7.9409999999999998</v>
      </c>
      <c r="AH23" s="126"/>
      <c r="AI23" s="5"/>
      <c r="AJ23" s="5">
        <v>6</v>
      </c>
      <c r="AK23" s="126"/>
      <c r="AL23" s="5"/>
      <c r="AM23" s="5">
        <v>1</v>
      </c>
      <c r="AN23" s="126"/>
      <c r="AO23" s="5"/>
      <c r="AP23" s="5">
        <v>783.65</v>
      </c>
      <c r="AQ23" s="126"/>
    </row>
    <row r="24" spans="1:43" hidden="1" x14ac:dyDescent="0.25">
      <c r="A24" s="144" t="s">
        <v>110</v>
      </c>
      <c r="B24" s="6">
        <v>34915</v>
      </c>
      <c r="C24" s="5">
        <v>42323.561000000002</v>
      </c>
      <c r="D24" s="145">
        <f>C24/B24%</f>
        <v>121.21884863239296</v>
      </c>
      <c r="E24" s="5">
        <f>+B24-H24</f>
        <v>0</v>
      </c>
      <c r="F24" s="5">
        <f>+C24-I24</f>
        <v>1.0040000000080909</v>
      </c>
      <c r="G24" s="126"/>
      <c r="H24" s="5">
        <f>+K24+N24+Q24+T24+W24+Z24+AC24+AF24+AI24+AL24+AO24</f>
        <v>34915</v>
      </c>
      <c r="I24" s="5">
        <f>+L24+O24+R24+U24+X24+AA24+AD24+AG24+AJ24+AM24+AP24</f>
        <v>42322.556999999993</v>
      </c>
      <c r="J24" s="145">
        <f>I24/H24%</f>
        <v>121.21597307747385</v>
      </c>
      <c r="K24" s="6">
        <v>9285</v>
      </c>
      <c r="L24" s="5">
        <v>13260.614</v>
      </c>
      <c r="M24" s="126"/>
      <c r="N24" s="6">
        <v>4650</v>
      </c>
      <c r="O24" s="5">
        <v>1865.7619999999999</v>
      </c>
      <c r="P24" s="126"/>
      <c r="Q24" s="6">
        <v>2150</v>
      </c>
      <c r="R24" s="5">
        <v>5045.9589999999998</v>
      </c>
      <c r="S24" s="126">
        <f>R24/Q24%</f>
        <v>234.69576744186045</v>
      </c>
      <c r="T24" s="6">
        <v>4880</v>
      </c>
      <c r="U24" s="5">
        <v>3583.7109999999998</v>
      </c>
      <c r="V24" s="126"/>
      <c r="W24" s="6">
        <v>1400</v>
      </c>
      <c r="X24" s="5">
        <v>1368.0150000000001</v>
      </c>
      <c r="Y24" s="126">
        <f>X24/W24%</f>
        <v>97.715357142857144</v>
      </c>
      <c r="Z24" s="6">
        <v>3690</v>
      </c>
      <c r="AA24" s="5">
        <v>1318.163</v>
      </c>
      <c r="AB24" s="126">
        <f>AA24/Z24%</f>
        <v>35.722574525745259</v>
      </c>
      <c r="AC24" s="6">
        <v>1500</v>
      </c>
      <c r="AD24" s="5">
        <v>1165.627</v>
      </c>
      <c r="AE24" s="126">
        <f>AD24/AC24%</f>
        <v>77.708466666666666</v>
      </c>
      <c r="AF24" s="6">
        <v>1800</v>
      </c>
      <c r="AG24" s="5">
        <v>1278.9760000000001</v>
      </c>
      <c r="AH24" s="126">
        <f>AG24/AF24%</f>
        <v>71.054222222222222</v>
      </c>
      <c r="AI24" s="6">
        <v>2000</v>
      </c>
      <c r="AJ24" s="5">
        <v>10373.584999999999</v>
      </c>
      <c r="AK24" s="126">
        <f>AJ24/AI24%</f>
        <v>518.67924999999991</v>
      </c>
      <c r="AL24" s="6">
        <v>1860</v>
      </c>
      <c r="AM24" s="5">
        <v>1590.202</v>
      </c>
      <c r="AN24" s="126">
        <f>AM24/AL24%</f>
        <v>85.49473118279569</v>
      </c>
      <c r="AO24" s="6">
        <v>1700</v>
      </c>
      <c r="AP24" s="5">
        <v>1471.943</v>
      </c>
      <c r="AQ24" s="126">
        <f>AP24/AO24%</f>
        <v>86.584882352941179</v>
      </c>
    </row>
    <row r="25" spans="1:43" hidden="1" x14ac:dyDescent="0.25">
      <c r="A25" s="144" t="s">
        <v>111</v>
      </c>
      <c r="B25" s="5">
        <f>+B21-B22-B23-B24</f>
        <v>6200</v>
      </c>
      <c r="C25" s="5">
        <f>+C21-C22-C23-C24</f>
        <v>4948.390999999996</v>
      </c>
      <c r="D25" s="145">
        <f>C25/B25%</f>
        <v>79.812758064516061</v>
      </c>
      <c r="E25" s="5">
        <f>+B25-H25</f>
        <v>0</v>
      </c>
      <c r="F25" s="5">
        <f>+C25-I25</f>
        <v>-8.0000000034488039E-3</v>
      </c>
      <c r="G25" s="126"/>
      <c r="H25" s="5">
        <f>+K25+N25+Q25+T25+W25+Z25+AC25+AF25+AI25+AL25+AO25</f>
        <v>6200</v>
      </c>
      <c r="I25" s="5">
        <f>+L25+O25+R25+U25+X25+AA25+AD25+AG25+AJ25+AM25+AP25</f>
        <v>4948.3989999999994</v>
      </c>
      <c r="J25" s="145">
        <f>I25/H25%</f>
        <v>79.81288709677419</v>
      </c>
      <c r="K25" s="5">
        <f>+K21-K22-K23-K24</f>
        <v>850</v>
      </c>
      <c r="L25" s="5">
        <f>+L21-L22-L23-L24</f>
        <v>943.49599999999919</v>
      </c>
      <c r="M25" s="126">
        <f>L25/K25%</f>
        <v>110.99952941176461</v>
      </c>
      <c r="N25" s="5">
        <f>+N21-N22-N23-N24</f>
        <v>450</v>
      </c>
      <c r="O25" s="5">
        <f>+O21-O22-O23-O24</f>
        <v>397.54600000000096</v>
      </c>
      <c r="P25" s="126">
        <f>O25/N25%</f>
        <v>88.343555555555767</v>
      </c>
      <c r="Q25" s="5">
        <f>+Q21-Q22-Q23-Q24</f>
        <v>850</v>
      </c>
      <c r="R25" s="5">
        <f>+R21-R22-R23-R24</f>
        <v>299.20100000000002</v>
      </c>
      <c r="S25" s="126">
        <f>R25/Q25%</f>
        <v>35.200117647058825</v>
      </c>
      <c r="T25" s="5">
        <f>+T21-T22-T23-T24</f>
        <v>900</v>
      </c>
      <c r="U25" s="5">
        <f>+U21-U22-U23-U24</f>
        <v>812.24500000000035</v>
      </c>
      <c r="V25" s="126">
        <f>U25/T25%</f>
        <v>90.249444444444478</v>
      </c>
      <c r="W25" s="5">
        <f>+W21-W22-W23-W24</f>
        <v>600</v>
      </c>
      <c r="X25" s="5">
        <f>+X21-X22-X23-X24</f>
        <v>420.779</v>
      </c>
      <c r="Y25" s="126">
        <f>X25/W25%</f>
        <v>70.129833333333337</v>
      </c>
      <c r="Z25" s="5">
        <f>+Z21-Z22-Z23-Z24</f>
        <v>450</v>
      </c>
      <c r="AA25" s="5">
        <f>+AA21-AA22-AA23-AA24</f>
        <v>521.72600000000034</v>
      </c>
      <c r="AB25" s="126">
        <f>AA25/Z25%</f>
        <v>115.93911111111119</v>
      </c>
      <c r="AC25" s="5">
        <f>+AC21-AC22-AC23-AC24</f>
        <v>600</v>
      </c>
      <c r="AD25" s="5">
        <f>+AD21-AD22-AD23-AD24</f>
        <v>331.74500000000012</v>
      </c>
      <c r="AE25" s="126">
        <f>AD25/AC25%</f>
        <v>55.290833333333353</v>
      </c>
      <c r="AF25" s="5">
        <f>+AF21-AF22-AF23-AF24</f>
        <v>450</v>
      </c>
      <c r="AG25" s="5">
        <f>+AG21-AG22-AG23-AG24</f>
        <v>461.04299999999967</v>
      </c>
      <c r="AH25" s="126">
        <f>AG25/AF25%</f>
        <v>102.45399999999992</v>
      </c>
      <c r="AI25" s="5">
        <f>+AI21-AI22-AI23-AI24</f>
        <v>450</v>
      </c>
      <c r="AJ25" s="5">
        <f>+AJ21-AJ22-AJ23-AJ24</f>
        <v>256.10499999999956</v>
      </c>
      <c r="AK25" s="126">
        <f>AJ25/AI25%</f>
        <v>56.912222222222127</v>
      </c>
      <c r="AL25" s="5">
        <f>+AL21-AL22-AL23-AL24</f>
        <v>300</v>
      </c>
      <c r="AM25" s="5">
        <f>+AM21-AM22-AM23-AM24</f>
        <v>280.48199999999997</v>
      </c>
      <c r="AN25" s="126">
        <f>AM25/AL25%</f>
        <v>93.493999999999986</v>
      </c>
      <c r="AO25" s="5">
        <f>+AO21-AO22-AO23-AO24</f>
        <v>300</v>
      </c>
      <c r="AP25" s="5">
        <f>+AP21-AP22-AP23-AP24</f>
        <v>224.03099999999972</v>
      </c>
      <c r="AQ25" s="126">
        <f>AP25/AO25%</f>
        <v>74.676999999999907</v>
      </c>
    </row>
    <row r="26" spans="1:43" x14ac:dyDescent="0.25">
      <c r="A26" s="144" t="s">
        <v>11</v>
      </c>
      <c r="B26" s="5">
        <v>620000</v>
      </c>
      <c r="C26" s="5">
        <v>261420.41099999999</v>
      </c>
      <c r="D26" s="145">
        <f>C26/B26%</f>
        <v>42.164582419354836</v>
      </c>
      <c r="E26" s="5">
        <f>+B26-H26</f>
        <v>260000</v>
      </c>
      <c r="F26" s="5">
        <f>+C26-I26</f>
        <v>178042.08899999998</v>
      </c>
      <c r="G26" s="126"/>
      <c r="H26" s="5">
        <f>+K26+N26+Q26+T26+W26+Z26+AC26+AF26+AI26+AL26+AO26</f>
        <v>360000</v>
      </c>
      <c r="I26" s="5">
        <f>+L26+O26+R26+U26+X26+AA26+AD26+AG26+AJ26+AM26+AP26</f>
        <v>83378.322000000015</v>
      </c>
      <c r="J26" s="145">
        <f>I26/H26%</f>
        <v>23.160645000000002</v>
      </c>
      <c r="K26" s="5">
        <v>150000</v>
      </c>
      <c r="L26" s="5">
        <v>26317.894</v>
      </c>
      <c r="M26" s="126">
        <f>L26/K26%</f>
        <v>17.545262666666666</v>
      </c>
      <c r="N26" s="5">
        <v>30000</v>
      </c>
      <c r="O26" s="5">
        <v>8144.1030000000001</v>
      </c>
      <c r="P26" s="126">
        <f>O26/N26%</f>
        <v>27.147010000000002</v>
      </c>
      <c r="Q26" s="5">
        <v>35000</v>
      </c>
      <c r="R26" s="5">
        <v>3167.6640000000002</v>
      </c>
      <c r="S26" s="126">
        <f>R26/Q26%</f>
        <v>9.0504685714285724</v>
      </c>
      <c r="T26" s="5">
        <v>30000</v>
      </c>
      <c r="U26" s="5">
        <v>17164.013999999999</v>
      </c>
      <c r="V26" s="126">
        <f>U26/T26%</f>
        <v>57.213380000000001</v>
      </c>
      <c r="W26" s="5">
        <v>30000</v>
      </c>
      <c r="X26" s="5">
        <v>4884.2420000000002</v>
      </c>
      <c r="Y26" s="126">
        <f>X26/W26%</f>
        <v>16.280806666666667</v>
      </c>
      <c r="Z26" s="5">
        <v>10000</v>
      </c>
      <c r="AA26" s="5">
        <v>1867.557</v>
      </c>
      <c r="AB26" s="126">
        <f>AA26/Z26%</f>
        <v>18.67557</v>
      </c>
      <c r="AC26" s="5">
        <v>10000</v>
      </c>
      <c r="AD26" s="5">
        <v>7735.7129999999997</v>
      </c>
      <c r="AE26" s="126">
        <f>AD26/AC26%</f>
        <v>77.357129999999998</v>
      </c>
      <c r="AF26" s="5">
        <v>20000</v>
      </c>
      <c r="AG26" s="5">
        <v>2737.9140000000002</v>
      </c>
      <c r="AH26" s="126">
        <f>AG26/AF26%</f>
        <v>13.689570000000002</v>
      </c>
      <c r="AI26" s="5">
        <v>15000</v>
      </c>
      <c r="AJ26" s="5">
        <v>3051.3049999999998</v>
      </c>
      <c r="AK26" s="126">
        <f>AJ26/AI26%</f>
        <v>20.342033333333333</v>
      </c>
      <c r="AL26" s="5">
        <v>15000</v>
      </c>
      <c r="AM26" s="5">
        <v>5107.8159999999998</v>
      </c>
      <c r="AN26" s="126">
        <f>AM26/AL26%</f>
        <v>34.052106666666667</v>
      </c>
      <c r="AO26" s="5">
        <v>15000</v>
      </c>
      <c r="AP26" s="5">
        <v>3200.1</v>
      </c>
      <c r="AQ26" s="126">
        <f>AP26/AO26%</f>
        <v>21.334</v>
      </c>
    </row>
    <row r="27" spans="1:43" s="125" customFormat="1" x14ac:dyDescent="0.25">
      <c r="A27" s="144" t="s">
        <v>12</v>
      </c>
      <c r="B27" s="5">
        <v>44000</v>
      </c>
      <c r="C27" s="5">
        <v>23237.244999999999</v>
      </c>
      <c r="D27" s="145">
        <f>C27/B27%</f>
        <v>52.811920454545451</v>
      </c>
      <c r="E27" s="5">
        <f>+B27-H27</f>
        <v>40912</v>
      </c>
      <c r="F27" s="5">
        <f>+C27-I27</f>
        <v>21468.191999999999</v>
      </c>
      <c r="G27" s="127"/>
      <c r="H27" s="5">
        <f>+K27+N27+Q27+T27+W27+Z27+AC27+AF27+AI27+AL27+AO27</f>
        <v>3088</v>
      </c>
      <c r="I27" s="5">
        <f>+L27+O27+R27+U27+X27+AA27+AD27+AG27+AJ27+AM27+AP27</f>
        <v>1769.0529999999997</v>
      </c>
      <c r="J27" s="145">
        <f>I27/H27%</f>
        <v>57.287985751295331</v>
      </c>
      <c r="K27" s="5">
        <v>980</v>
      </c>
      <c r="L27" s="5">
        <v>187.06899999999999</v>
      </c>
      <c r="M27" s="127">
        <f>L27/K27%</f>
        <v>19.088673469387754</v>
      </c>
      <c r="N27" s="5">
        <v>450</v>
      </c>
      <c r="O27" s="5">
        <v>280.49</v>
      </c>
      <c r="P27" s="126">
        <f>O27/N27%</f>
        <v>62.331111111111113</v>
      </c>
      <c r="Q27" s="5">
        <v>270</v>
      </c>
      <c r="R27" s="5">
        <v>577.22799999999995</v>
      </c>
      <c r="S27" s="127">
        <f>R27/Q27%</f>
        <v>213.78814814814811</v>
      </c>
      <c r="T27" s="5">
        <v>130</v>
      </c>
      <c r="U27" s="5">
        <v>471.50400000000002</v>
      </c>
      <c r="V27" s="126">
        <f>U27/T27%</f>
        <v>362.69538461538463</v>
      </c>
      <c r="W27" s="5">
        <v>38</v>
      </c>
      <c r="X27" s="5">
        <v>12.85</v>
      </c>
      <c r="Y27" s="127">
        <f>X27/W27%</f>
        <v>33.815789473684212</v>
      </c>
      <c r="Z27" s="5">
        <v>170</v>
      </c>
      <c r="AA27" s="5">
        <v>64.424000000000007</v>
      </c>
      <c r="AB27" s="127">
        <f>AA27/Z27%</f>
        <v>37.896470588235296</v>
      </c>
      <c r="AC27" s="5">
        <v>60</v>
      </c>
      <c r="AD27" s="5"/>
      <c r="AE27" s="127"/>
      <c r="AF27" s="5">
        <v>50</v>
      </c>
      <c r="AG27" s="5"/>
      <c r="AH27" s="127"/>
      <c r="AI27" s="5">
        <v>900</v>
      </c>
      <c r="AJ27" s="5">
        <v>166.57900000000001</v>
      </c>
      <c r="AK27" s="127">
        <f>AJ27/AI27%</f>
        <v>18.50877777777778</v>
      </c>
      <c r="AL27" s="5"/>
      <c r="AM27" s="5"/>
      <c r="AN27" s="127"/>
      <c r="AO27" s="5">
        <v>40</v>
      </c>
      <c r="AP27" s="5">
        <v>8.9090000000000007</v>
      </c>
      <c r="AQ27" s="127">
        <f>AP27/AO27%</f>
        <v>22.272500000000001</v>
      </c>
    </row>
    <row r="28" spans="1:43" s="125" customFormat="1" hidden="1" x14ac:dyDescent="0.25">
      <c r="A28" s="148" t="s">
        <v>112</v>
      </c>
      <c r="B28" s="5"/>
      <c r="C28" s="5"/>
      <c r="D28" s="145"/>
      <c r="E28" s="5">
        <f>+B28-H28</f>
        <v>0</v>
      </c>
      <c r="F28" s="5">
        <f>+C28-I28</f>
        <v>-486.54600000000005</v>
      </c>
      <c r="G28" s="127"/>
      <c r="H28" s="5">
        <f>+K28+N28+Q28+T28+W28+Z28+AC28+AF28+AI28+AL28+AO28</f>
        <v>0</v>
      </c>
      <c r="I28" s="5">
        <f>+L28+O28+R28+U28+X28+AA28+AD28+AG28+AJ28+AM28+AP28</f>
        <v>486.54600000000005</v>
      </c>
      <c r="J28" s="145"/>
      <c r="K28" s="5"/>
      <c r="L28" s="5"/>
      <c r="M28" s="127"/>
      <c r="N28" s="5"/>
      <c r="O28" s="5">
        <v>0</v>
      </c>
      <c r="P28" s="126"/>
      <c r="Q28" s="5"/>
      <c r="R28" s="5">
        <v>422.79</v>
      </c>
      <c r="S28" s="127"/>
      <c r="T28" s="5"/>
      <c r="U28" s="5">
        <v>0</v>
      </c>
      <c r="V28" s="127"/>
      <c r="W28" s="5"/>
      <c r="X28" s="5"/>
      <c r="Y28" s="127"/>
      <c r="Z28" s="5"/>
      <c r="AA28" s="5"/>
      <c r="AB28" s="127"/>
      <c r="AC28" s="5"/>
      <c r="AD28" s="5"/>
      <c r="AE28" s="127"/>
      <c r="AF28" s="5"/>
      <c r="AG28" s="5"/>
      <c r="AH28" s="127"/>
      <c r="AI28" s="5"/>
      <c r="AJ28" s="5">
        <v>63.756</v>
      </c>
      <c r="AK28" s="127"/>
      <c r="AL28" s="5"/>
      <c r="AM28" s="5"/>
      <c r="AN28" s="127"/>
      <c r="AO28" s="5"/>
      <c r="AP28" s="5"/>
      <c r="AQ28" s="127"/>
    </row>
    <row r="29" spans="1:43" x14ac:dyDescent="0.25">
      <c r="A29" s="144" t="s">
        <v>72</v>
      </c>
      <c r="B29" s="5">
        <v>6000</v>
      </c>
      <c r="C29" s="5">
        <v>2173.2550000000001</v>
      </c>
      <c r="D29" s="145">
        <f>C29/B29%</f>
        <v>36.220916666666668</v>
      </c>
      <c r="E29" s="5">
        <f>+B29-H29</f>
        <v>0</v>
      </c>
      <c r="F29" s="5">
        <f>+C29-I29</f>
        <v>0</v>
      </c>
      <c r="G29" s="126"/>
      <c r="H29" s="5">
        <f>+K29+N29+Q29+T29+W29+Z29+AC29+AF29+AI29+AL29+AO29</f>
        <v>6000</v>
      </c>
      <c r="I29" s="5">
        <f>+L29+O29+R29+U29+X29+AA29+AD29+AG29+AJ29+AM29+AP29</f>
        <v>2173.2549999999997</v>
      </c>
      <c r="J29" s="145">
        <f>I29/H29%</f>
        <v>36.22091666666666</v>
      </c>
      <c r="K29" s="5">
        <v>5780</v>
      </c>
      <c r="L29" s="5">
        <v>2162.3649999999998</v>
      </c>
      <c r="M29" s="126">
        <f>L29/K29%</f>
        <v>37.411159169550174</v>
      </c>
      <c r="N29" s="5"/>
      <c r="O29" s="5"/>
      <c r="P29" s="126"/>
      <c r="Q29" s="5"/>
      <c r="R29" s="5"/>
      <c r="S29" s="126"/>
      <c r="T29" s="5"/>
      <c r="U29" s="5"/>
      <c r="V29" s="126"/>
      <c r="W29" s="5"/>
      <c r="X29" s="5">
        <v>0</v>
      </c>
      <c r="Y29" s="126"/>
      <c r="Z29" s="5"/>
      <c r="AA29" s="5">
        <v>0</v>
      </c>
      <c r="AB29" s="126"/>
      <c r="AC29" s="5">
        <v>100</v>
      </c>
      <c r="AD29" s="5"/>
      <c r="AE29" s="126"/>
      <c r="AF29" s="5"/>
      <c r="AG29" s="5"/>
      <c r="AH29" s="126">
        <v>0</v>
      </c>
      <c r="AI29" s="5"/>
      <c r="AJ29" s="5"/>
      <c r="AK29" s="126"/>
      <c r="AL29" s="5"/>
      <c r="AM29" s="5"/>
      <c r="AN29" s="126"/>
      <c r="AO29" s="5">
        <v>120</v>
      </c>
      <c r="AP29" s="5">
        <v>10.89</v>
      </c>
      <c r="AQ29" s="126">
        <f>AP29/AO29%</f>
        <v>9.0750000000000011</v>
      </c>
    </row>
    <row r="30" spans="1:43" x14ac:dyDescent="0.25">
      <c r="A30" s="144" t="s">
        <v>73</v>
      </c>
      <c r="B30" s="5">
        <f>+B31+B32</f>
        <v>290000</v>
      </c>
      <c r="C30" s="5">
        <f>+C31+C32</f>
        <v>113327.125</v>
      </c>
      <c r="D30" s="145">
        <f>C30/B30%</f>
        <v>39.078318965517241</v>
      </c>
      <c r="E30" s="5">
        <f>+B30-H30</f>
        <v>85773</v>
      </c>
      <c r="F30" s="5">
        <f>+C30-I30</f>
        <v>27421.252999999982</v>
      </c>
      <c r="G30" s="126">
        <f>F30/E30%</f>
        <v>31.969562682895528</v>
      </c>
      <c r="H30" s="5">
        <f>+K30+N30+Q30+T30+W30+Z30+AC30+AF30+AI30+AL30+AO30</f>
        <v>204227</v>
      </c>
      <c r="I30" s="5">
        <f>+L30+O30+R30+U30+X30+AA30+AD30+AG30+AJ30+AM30+AP30</f>
        <v>85905.872000000018</v>
      </c>
      <c r="J30" s="145">
        <f>I30/H30%</f>
        <v>42.063915153236358</v>
      </c>
      <c r="K30" s="5">
        <f>+K31+K32</f>
        <v>48000</v>
      </c>
      <c r="L30" s="5">
        <f>+L31+L32</f>
        <v>16993.034</v>
      </c>
      <c r="M30" s="126">
        <f>L30/K30%</f>
        <v>35.402154166666669</v>
      </c>
      <c r="N30" s="5">
        <f>+N31+N32</f>
        <v>18000</v>
      </c>
      <c r="O30" s="5">
        <f>+O31+O32</f>
        <v>5449.9670000000006</v>
      </c>
      <c r="P30" s="126">
        <f>O30/N30%</f>
        <v>30.277594444444446</v>
      </c>
      <c r="Q30" s="5">
        <f>+Q31+Q32</f>
        <v>13000</v>
      </c>
      <c r="R30" s="5">
        <f>+R31+R32</f>
        <v>4187.848</v>
      </c>
      <c r="S30" s="126">
        <f>R30/Q30%</f>
        <v>32.214215384615386</v>
      </c>
      <c r="T30" s="5">
        <f>+T31+T32</f>
        <v>31977</v>
      </c>
      <c r="U30" s="5">
        <f>+U31+U32</f>
        <v>9499.0339999999997</v>
      </c>
      <c r="V30" s="126">
        <f>U30/T30%</f>
        <v>29.70583231697783</v>
      </c>
      <c r="W30" s="5">
        <f>+W31+W32</f>
        <v>19700</v>
      </c>
      <c r="X30" s="5">
        <f>+X31+X32</f>
        <v>16301.087</v>
      </c>
      <c r="Y30" s="126">
        <f>X30/W30%</f>
        <v>82.746634517766495</v>
      </c>
      <c r="Z30" s="5">
        <f>+Z31+Z32</f>
        <v>17000</v>
      </c>
      <c r="AA30" s="5">
        <f>+AA31+AA32</f>
        <v>9948.6450000000004</v>
      </c>
      <c r="AB30" s="126">
        <f>AA30/Z30%</f>
        <v>58.521441176470589</v>
      </c>
      <c r="AC30" s="5">
        <f>+AC31+AC32</f>
        <v>10500</v>
      </c>
      <c r="AD30" s="5">
        <f>+AD31+AD32</f>
        <v>5689.15</v>
      </c>
      <c r="AE30" s="126">
        <f>AD30/AC30%</f>
        <v>54.182380952380946</v>
      </c>
      <c r="AF30" s="5">
        <f>+AF31+AF32</f>
        <v>10900</v>
      </c>
      <c r="AG30" s="5">
        <f>+AG31+AG32</f>
        <v>4663.5510000000004</v>
      </c>
      <c r="AH30" s="126">
        <f>AG30/AF30%</f>
        <v>42.784871559633032</v>
      </c>
      <c r="AI30" s="5">
        <f>+AI31+AI32</f>
        <v>11000</v>
      </c>
      <c r="AJ30" s="5">
        <f>+AJ31+AJ32</f>
        <v>5115.3869999999997</v>
      </c>
      <c r="AK30" s="126">
        <f>AJ30/AI30%</f>
        <v>46.50351818181818</v>
      </c>
      <c r="AL30" s="5">
        <f>+AL31+AL32</f>
        <v>10500</v>
      </c>
      <c r="AM30" s="5">
        <f>+AM31+AM32</f>
        <v>3725.2820000000002</v>
      </c>
      <c r="AN30" s="126">
        <f>AM30/AL30%</f>
        <v>35.478876190476193</v>
      </c>
      <c r="AO30" s="5">
        <f>+AO31+AO32</f>
        <v>13650</v>
      </c>
      <c r="AP30" s="5">
        <f>+AP31+AP32</f>
        <v>4332.8870000000006</v>
      </c>
      <c r="AQ30" s="126">
        <f>AP30/AO30%</f>
        <v>31.74276190476191</v>
      </c>
    </row>
    <row r="31" spans="1:43" x14ac:dyDescent="0.25">
      <c r="A31" s="144" t="s">
        <v>13</v>
      </c>
      <c r="B31" s="5">
        <v>100000</v>
      </c>
      <c r="C31" s="5">
        <v>33378.339</v>
      </c>
      <c r="D31" s="145">
        <f>C31/B31%</f>
        <v>33.378338999999997</v>
      </c>
      <c r="E31" s="5">
        <f>+B31-H31</f>
        <v>44340</v>
      </c>
      <c r="F31" s="5">
        <f>+C31-I31</f>
        <v>8736.7450000000026</v>
      </c>
      <c r="G31" s="126">
        <f>F31/E31%</f>
        <v>19.703980604420394</v>
      </c>
      <c r="H31" s="5">
        <f>+K31+N31+Q31+T31+W31+Z31+AC31+AF31+AI31+AL31+AO31</f>
        <v>55660</v>
      </c>
      <c r="I31" s="5">
        <f>+L31+O31+R31+U31+X31+AA31+AD31+AG31+AJ31+AM31+AP31</f>
        <v>24641.593999999997</v>
      </c>
      <c r="J31" s="145">
        <f>I31/H31%</f>
        <v>44.271638519583178</v>
      </c>
      <c r="K31" s="5">
        <v>6300</v>
      </c>
      <c r="L31" s="5">
        <v>3507.482</v>
      </c>
      <c r="M31" s="126">
        <f>L31/K31%</f>
        <v>55.674317460317461</v>
      </c>
      <c r="N31" s="5">
        <v>6300</v>
      </c>
      <c r="O31" s="5">
        <v>3459.067</v>
      </c>
      <c r="P31" s="126">
        <f>O31/N31%</f>
        <v>54.905825396825399</v>
      </c>
      <c r="Q31" s="5">
        <v>4000</v>
      </c>
      <c r="R31" s="5">
        <v>1750.546</v>
      </c>
      <c r="S31" s="126">
        <f>R31/Q31%</f>
        <v>43.763649999999998</v>
      </c>
      <c r="T31" s="5">
        <v>8000</v>
      </c>
      <c r="U31" s="5">
        <v>2524.7800000000002</v>
      </c>
      <c r="V31" s="126">
        <f>U31/T31%</f>
        <v>31.559750000000001</v>
      </c>
      <c r="W31" s="5">
        <v>4700</v>
      </c>
      <c r="X31" s="5">
        <v>1879.961</v>
      </c>
      <c r="Y31" s="126">
        <f>X31/W31%</f>
        <v>39.999170212765961</v>
      </c>
      <c r="Z31" s="5">
        <v>4600</v>
      </c>
      <c r="AA31" s="5">
        <v>1818.3679999999999</v>
      </c>
      <c r="AB31" s="126">
        <f>AA31/Z31%</f>
        <v>39.529739130434784</v>
      </c>
      <c r="AC31" s="5">
        <v>2000</v>
      </c>
      <c r="AD31" s="5">
        <v>1491.585</v>
      </c>
      <c r="AE31" s="126">
        <f>AD31/AC31%</f>
        <v>74.579250000000002</v>
      </c>
      <c r="AF31" s="5">
        <v>4700</v>
      </c>
      <c r="AG31" s="5">
        <v>1971.19</v>
      </c>
      <c r="AH31" s="126">
        <f>AG31/AF31%</f>
        <v>41.940212765957448</v>
      </c>
      <c r="AI31" s="5">
        <v>6200</v>
      </c>
      <c r="AJ31" s="5">
        <v>2387.2979999999998</v>
      </c>
      <c r="AK31" s="126">
        <f>AJ31/AI31%</f>
        <v>38.5048064516129</v>
      </c>
      <c r="AL31" s="5">
        <v>4360</v>
      </c>
      <c r="AM31" s="5">
        <v>2066.194</v>
      </c>
      <c r="AN31" s="126">
        <f>AM31/AL31%</f>
        <v>47.389770642201832</v>
      </c>
      <c r="AO31" s="5">
        <v>4500</v>
      </c>
      <c r="AP31" s="5">
        <v>1785.123</v>
      </c>
      <c r="AQ31" s="126">
        <f>AP31/AO31%</f>
        <v>39.669400000000003</v>
      </c>
    </row>
    <row r="32" spans="1:43" x14ac:dyDescent="0.25">
      <c r="A32" s="144" t="s">
        <v>14</v>
      </c>
      <c r="B32" s="5">
        <v>190000</v>
      </c>
      <c r="C32" s="5">
        <v>79948.786000000007</v>
      </c>
      <c r="D32" s="145">
        <f>C32/B32%</f>
        <v>42.078308421052633</v>
      </c>
      <c r="E32" s="5">
        <f>+B32-H32</f>
        <v>41433</v>
      </c>
      <c r="F32" s="5">
        <f>+C32-I32</f>
        <v>18684.507999999994</v>
      </c>
      <c r="G32" s="126">
        <f>F32/E32%</f>
        <v>45.095715975188845</v>
      </c>
      <c r="H32" s="5">
        <f>+K32+N32+Q32+T32+W32+Z32+AC32+AF32+AI32+AL32+AO32</f>
        <v>148567</v>
      </c>
      <c r="I32" s="5">
        <f>+L32+O32+R32+U32+X32+AA32+AD32+AG32+AJ32+AM32+AP32</f>
        <v>61264.278000000013</v>
      </c>
      <c r="J32" s="145">
        <f>I32/H32%</f>
        <v>41.236800904642358</v>
      </c>
      <c r="K32" s="5">
        <v>41700</v>
      </c>
      <c r="L32" s="5">
        <v>13485.552</v>
      </c>
      <c r="M32" s="126">
        <f>L32/K32%</f>
        <v>32.339453237410069</v>
      </c>
      <c r="N32" s="5">
        <v>11700</v>
      </c>
      <c r="O32" s="5">
        <f>1935.94+51.46+3.5</f>
        <v>1990.9</v>
      </c>
      <c r="P32" s="126">
        <f>O32/N32%</f>
        <v>17.016239316239318</v>
      </c>
      <c r="Q32" s="5">
        <v>9000</v>
      </c>
      <c r="R32" s="5">
        <f>2328.75+108.552</f>
        <v>2437.3020000000001</v>
      </c>
      <c r="S32" s="126">
        <f>R32/Q32%</f>
        <v>27.081133333333334</v>
      </c>
      <c r="T32" s="5">
        <v>23977</v>
      </c>
      <c r="U32" s="5">
        <v>6974.2539999999999</v>
      </c>
      <c r="V32" s="126">
        <f>U32/T32%</f>
        <v>29.087266964173999</v>
      </c>
      <c r="W32" s="5">
        <v>15000</v>
      </c>
      <c r="X32" s="5">
        <v>14421.126</v>
      </c>
      <c r="Y32" s="126">
        <f>X32/W32%</f>
        <v>96.140839999999997</v>
      </c>
      <c r="Z32" s="5">
        <v>12400</v>
      </c>
      <c r="AA32" s="5">
        <f>8104.719+25.558</f>
        <v>8130.277</v>
      </c>
      <c r="AB32" s="126">
        <f>AA32/Z32%</f>
        <v>65.566749999999999</v>
      </c>
      <c r="AC32" s="5">
        <v>8500</v>
      </c>
      <c r="AD32" s="5">
        <v>4197.5649999999996</v>
      </c>
      <c r="AE32" s="126">
        <f>AD32/AC32%</f>
        <v>49.383117647058818</v>
      </c>
      <c r="AF32" s="5">
        <v>6200</v>
      </c>
      <c r="AG32" s="5">
        <f>2323.84+368.521</f>
        <v>2692.3610000000003</v>
      </c>
      <c r="AH32" s="126">
        <f>AG32/AF32%</f>
        <v>43.425177419354846</v>
      </c>
      <c r="AI32" s="5">
        <v>4800</v>
      </c>
      <c r="AJ32" s="5">
        <v>2728.0889999999999</v>
      </c>
      <c r="AK32" s="126">
        <f>AJ32/AI32%</f>
        <v>56.835187499999996</v>
      </c>
      <c r="AL32" s="5">
        <v>6140</v>
      </c>
      <c r="AM32" s="5">
        <v>1659.088</v>
      </c>
      <c r="AN32" s="126">
        <f>AM32/AL32%</f>
        <v>27.020977198697068</v>
      </c>
      <c r="AO32" s="5">
        <v>9150</v>
      </c>
      <c r="AP32" s="5">
        <v>2547.7640000000001</v>
      </c>
      <c r="AQ32" s="126">
        <f>AP32/AO32%</f>
        <v>27.844415300546448</v>
      </c>
    </row>
    <row r="33" spans="1:43" hidden="1" x14ac:dyDescent="0.25">
      <c r="A33" s="148" t="s">
        <v>112</v>
      </c>
      <c r="B33" s="6"/>
      <c r="C33" s="6"/>
      <c r="D33" s="149"/>
      <c r="E33" s="6">
        <f>+B33-H33</f>
        <v>0</v>
      </c>
      <c r="F33" s="6">
        <f>+C33-I33</f>
        <v>-11810.6</v>
      </c>
      <c r="G33" s="126"/>
      <c r="H33" s="6">
        <f>+K33+N33+Q33+T33+W33+Z33+AC33+AF33+AI33+AL33+AO33</f>
        <v>0</v>
      </c>
      <c r="I33" s="6">
        <f>+L33+O33+R33+U33+X33+AA33+AD33+AG33+AJ33+AM33+AP33</f>
        <v>11810.6</v>
      </c>
      <c r="J33" s="149"/>
      <c r="K33" s="6"/>
      <c r="L33" s="6">
        <v>9283.9410000000007</v>
      </c>
      <c r="M33" s="126"/>
      <c r="N33" s="6"/>
      <c r="O33" s="6">
        <v>619.11400000000003</v>
      </c>
      <c r="P33" s="126"/>
      <c r="Q33" s="6"/>
      <c r="R33" s="6">
        <v>100.605</v>
      </c>
      <c r="S33" s="126"/>
      <c r="T33" s="6"/>
      <c r="U33" s="6">
        <v>673.23099999999999</v>
      </c>
      <c r="V33" s="126"/>
      <c r="W33" s="6"/>
      <c r="X33" s="6">
        <v>162.43299999999999</v>
      </c>
      <c r="Y33" s="126"/>
      <c r="Z33" s="6"/>
      <c r="AA33" s="6">
        <v>281.86200000000002</v>
      </c>
      <c r="AB33" s="126"/>
      <c r="AC33" s="6"/>
      <c r="AD33" s="6">
        <v>20.484999999999999</v>
      </c>
      <c r="AE33" s="126"/>
      <c r="AF33" s="6"/>
      <c r="AG33" s="6">
        <v>320.17200000000003</v>
      </c>
      <c r="AH33" s="126"/>
      <c r="AI33" s="6"/>
      <c r="AJ33" s="6">
        <v>139.119</v>
      </c>
      <c r="AK33" s="126"/>
      <c r="AL33" s="6"/>
      <c r="AM33" s="6">
        <v>115.095</v>
      </c>
      <c r="AN33" s="126"/>
      <c r="AO33" s="6"/>
      <c r="AP33" s="6">
        <v>94.543000000000006</v>
      </c>
      <c r="AQ33" s="126"/>
    </row>
    <row r="34" spans="1:43" s="125" customFormat="1" x14ac:dyDescent="0.25">
      <c r="A34" s="144" t="s">
        <v>74</v>
      </c>
      <c r="B34" s="5">
        <v>35000</v>
      </c>
      <c r="C34" s="5">
        <v>13446.763000000001</v>
      </c>
      <c r="D34" s="145">
        <f>C34/B34%</f>
        <v>38.419322857142859</v>
      </c>
      <c r="E34" s="5">
        <f>+B34-H34</f>
        <v>35000</v>
      </c>
      <c r="F34" s="5">
        <f>+C34-I34</f>
        <v>13446.763000000001</v>
      </c>
      <c r="G34" s="127"/>
      <c r="H34" s="5">
        <f>+K34+N34+Q34+T34+W34+Z34+AC34+AF34+AI34+AL34+AO34</f>
        <v>0</v>
      </c>
      <c r="I34" s="5">
        <f>+L34+O34+R34+U34+X34+AA34+AD34+AG34+AJ34+AM34+AP34</f>
        <v>0</v>
      </c>
      <c r="J34" s="145"/>
      <c r="K34" s="5"/>
      <c r="L34" s="5"/>
      <c r="M34" s="127"/>
      <c r="N34" s="5"/>
      <c r="O34" s="5"/>
      <c r="P34" s="127"/>
      <c r="Q34" s="5"/>
      <c r="R34" s="5"/>
      <c r="S34" s="127"/>
      <c r="T34" s="5"/>
      <c r="U34" s="5"/>
      <c r="V34" s="127"/>
      <c r="W34" s="5"/>
      <c r="X34" s="5"/>
      <c r="Y34" s="127"/>
      <c r="Z34" s="5"/>
      <c r="AA34" s="5"/>
      <c r="AB34" s="127"/>
      <c r="AC34" s="5"/>
      <c r="AD34" s="5"/>
      <c r="AE34" s="127"/>
      <c r="AF34" s="5"/>
      <c r="AG34" s="5"/>
      <c r="AH34" s="127"/>
      <c r="AI34" s="5"/>
      <c r="AJ34" s="5"/>
      <c r="AK34" s="127"/>
      <c r="AL34" s="5"/>
      <c r="AM34" s="5"/>
      <c r="AN34" s="127"/>
      <c r="AO34" s="5"/>
      <c r="AP34" s="5"/>
      <c r="AQ34" s="127"/>
    </row>
    <row r="35" spans="1:43" x14ac:dyDescent="0.25">
      <c r="A35" s="144" t="s">
        <v>75</v>
      </c>
      <c r="B35" s="5">
        <v>140000</v>
      </c>
      <c r="C35" s="5">
        <v>35102.809000000001</v>
      </c>
      <c r="D35" s="145">
        <f>C35/B35%</f>
        <v>25.073435</v>
      </c>
      <c r="E35" s="5">
        <f>+B35-H35</f>
        <v>140000</v>
      </c>
      <c r="F35" s="5">
        <f>+C35-I35</f>
        <v>35102.809000000001</v>
      </c>
      <c r="G35" s="126">
        <f>F35/E35%</f>
        <v>25.073435</v>
      </c>
      <c r="H35" s="5">
        <f>+K35+N35+Q35+T35+W35+Z35+AC35+AF35+AI35+AL35+AO35</f>
        <v>0</v>
      </c>
      <c r="I35" s="5">
        <f>+L35+O35+R35+U35+X35+AA35+AD35+AG35+AJ35+AM35+AP35</f>
        <v>0</v>
      </c>
      <c r="J35" s="145"/>
      <c r="K35" s="5"/>
      <c r="L35" s="5"/>
      <c r="M35" s="126"/>
      <c r="N35" s="5"/>
      <c r="O35" s="5"/>
      <c r="P35" s="126"/>
      <c r="Q35" s="5"/>
      <c r="R35" s="5"/>
      <c r="S35" s="126"/>
      <c r="T35" s="5"/>
      <c r="U35" s="5"/>
      <c r="V35" s="126"/>
      <c r="W35" s="5"/>
      <c r="X35" s="5"/>
      <c r="Y35" s="126"/>
      <c r="Z35" s="5"/>
      <c r="AA35" s="5"/>
      <c r="AB35" s="126"/>
      <c r="AC35" s="5"/>
      <c r="AD35" s="5"/>
      <c r="AE35" s="126"/>
      <c r="AF35" s="5"/>
      <c r="AG35" s="5"/>
      <c r="AH35" s="126"/>
      <c r="AI35" s="5"/>
      <c r="AJ35" s="5"/>
      <c r="AK35" s="126"/>
      <c r="AL35" s="5"/>
      <c r="AM35" s="5"/>
      <c r="AN35" s="126"/>
      <c r="AO35" s="5"/>
      <c r="AP35" s="5"/>
      <c r="AQ35" s="126"/>
    </row>
    <row r="36" spans="1:43" x14ac:dyDescent="0.25">
      <c r="A36" s="144" t="s">
        <v>76</v>
      </c>
      <c r="B36" s="5">
        <v>1890000</v>
      </c>
      <c r="C36" s="5">
        <v>753639.549</v>
      </c>
      <c r="D36" s="145">
        <f>C36/B36%</f>
        <v>39.87510841269841</v>
      </c>
      <c r="E36" s="5">
        <f>+B36-H36</f>
        <v>1890000</v>
      </c>
      <c r="F36" s="5">
        <f>+C36-I36</f>
        <v>753639.549</v>
      </c>
      <c r="G36" s="126">
        <f>F36/E36%</f>
        <v>39.87510841269841</v>
      </c>
      <c r="H36" s="5">
        <f>+K36+N36+Q36+T36+W36+Z36+AC36+AF36+AI36+AL36+AO36</f>
        <v>0</v>
      </c>
      <c r="I36" s="5">
        <f>+L36+O36+R36+U36+X36+AA36+AD36+AG36+AJ36+AM36+AP36</f>
        <v>0</v>
      </c>
      <c r="J36" s="145"/>
      <c r="K36" s="5"/>
      <c r="L36" s="5"/>
      <c r="M36" s="126"/>
      <c r="N36" s="5"/>
      <c r="O36" s="5"/>
      <c r="P36" s="126"/>
      <c r="Q36" s="5"/>
      <c r="R36" s="5"/>
      <c r="S36" s="126"/>
      <c r="T36" s="5"/>
      <c r="U36" s="5"/>
      <c r="V36" s="126"/>
      <c r="W36" s="5"/>
      <c r="X36" s="5"/>
      <c r="Y36" s="126"/>
      <c r="Z36" s="5"/>
      <c r="AA36" s="5"/>
      <c r="AB36" s="126"/>
      <c r="AC36" s="5"/>
      <c r="AD36" s="5"/>
      <c r="AE36" s="126"/>
      <c r="AF36" s="5"/>
      <c r="AG36" s="5"/>
      <c r="AH36" s="126"/>
      <c r="AI36" s="5"/>
      <c r="AJ36" s="5"/>
      <c r="AK36" s="126"/>
      <c r="AL36" s="5"/>
      <c r="AM36" s="5"/>
      <c r="AN36" s="126"/>
      <c r="AO36" s="5"/>
      <c r="AP36" s="5"/>
      <c r="AQ36" s="126"/>
    </row>
    <row r="37" spans="1:43" s="129" customFormat="1" x14ac:dyDescent="0.25">
      <c r="A37" s="150" t="s">
        <v>37</v>
      </c>
      <c r="B37" s="7">
        <f>+B38+B47</f>
        <v>20652646</v>
      </c>
      <c r="C37" s="7">
        <f t="shared" ref="C37" si="0">+C38+C47</f>
        <v>4785479.8923333343</v>
      </c>
      <c r="D37" s="151">
        <f>C37/B37%</f>
        <v>23.171267702614642</v>
      </c>
      <c r="E37" s="7">
        <f>+B37-H37</f>
        <v>11599704</v>
      </c>
      <c r="F37" s="7">
        <f>+C37-I37</f>
        <v>1930427.4663333343</v>
      </c>
      <c r="G37" s="123">
        <f>F37/E37%</f>
        <v>16.642040748051283</v>
      </c>
      <c r="H37" s="7">
        <f>+K37+N37+Q37+T37+W37+Z37+AC37+AF37+AI37+AL37+AO37</f>
        <v>9052942</v>
      </c>
      <c r="I37" s="7">
        <f>+L37+O37+R37+U37+X37+AA37+AD37+AG37+AJ37+AM37+AP37</f>
        <v>2855052.426</v>
      </c>
      <c r="J37" s="151">
        <f>I37/H37%</f>
        <v>31.537288386471491</v>
      </c>
      <c r="K37" s="7">
        <f>+K38+K47</f>
        <v>1136292</v>
      </c>
      <c r="L37" s="7">
        <f>+L38+L47</f>
        <v>309261.96700000006</v>
      </c>
      <c r="M37" s="123">
        <f>L37/K37%</f>
        <v>27.216768841107747</v>
      </c>
      <c r="N37" s="7">
        <f>+N38+N47</f>
        <v>583430</v>
      </c>
      <c r="O37" s="7">
        <f>+O38+O47</f>
        <v>135065.06400000001</v>
      </c>
      <c r="P37" s="123">
        <f>O37/N37%</f>
        <v>23.150174656771163</v>
      </c>
      <c r="Q37" s="7">
        <f>+Q38+Q47</f>
        <v>725434</v>
      </c>
      <c r="R37" s="7">
        <f>+R38+R47</f>
        <v>228017.81099999999</v>
      </c>
      <c r="S37" s="123">
        <f>R37/Q37%</f>
        <v>31.431916756038451</v>
      </c>
      <c r="T37" s="7">
        <f>+T38+T47</f>
        <v>1121694</v>
      </c>
      <c r="U37" s="7">
        <f>+U38+U47</f>
        <v>378643.22200000001</v>
      </c>
      <c r="V37" s="123">
        <f>U37/T37%</f>
        <v>33.756374020009019</v>
      </c>
      <c r="W37" s="7">
        <f>+W38+W47</f>
        <v>855727</v>
      </c>
      <c r="X37" s="7">
        <f>+X38+X47</f>
        <v>303469.42700000003</v>
      </c>
      <c r="Y37" s="123">
        <f>X37/W37%</f>
        <v>35.463346020401367</v>
      </c>
      <c r="Z37" s="7">
        <f>+Z38+Z47</f>
        <v>815385</v>
      </c>
      <c r="AA37" s="7">
        <f>+AA38+AA47</f>
        <v>273197.04100000003</v>
      </c>
      <c r="AB37" s="123">
        <f>AA37/Z37%</f>
        <v>33.505281676753931</v>
      </c>
      <c r="AC37" s="7">
        <f>+AC38+AC47</f>
        <v>746675</v>
      </c>
      <c r="AD37" s="7">
        <f>+AD38+AD47</f>
        <v>265778.71799999999</v>
      </c>
      <c r="AE37" s="123">
        <f>AD37/AC37%</f>
        <v>35.594966752603206</v>
      </c>
      <c r="AF37" s="7">
        <f>+AF38+AF47</f>
        <v>823105</v>
      </c>
      <c r="AG37" s="7">
        <f>+AG38+AG47</f>
        <v>53165.607000000011</v>
      </c>
      <c r="AH37" s="123">
        <f>AG37/AF37%</f>
        <v>6.4591524775089466</v>
      </c>
      <c r="AI37" s="7">
        <f>+AI38+AI47</f>
        <v>778103</v>
      </c>
      <c r="AJ37" s="7">
        <f>+AJ38+AJ47</f>
        <v>397196.83</v>
      </c>
      <c r="AK37" s="123">
        <f>AJ37/AI37%</f>
        <v>51.046818994400489</v>
      </c>
      <c r="AL37" s="7">
        <f>+AL38+AL47</f>
        <v>717966</v>
      </c>
      <c r="AM37" s="7">
        <f>+AM38+AM47</f>
        <v>254648.671</v>
      </c>
      <c r="AN37" s="123">
        <f>AM37/AL37%</f>
        <v>35.468068265071047</v>
      </c>
      <c r="AO37" s="7">
        <f>+AO38+AO47</f>
        <v>749131</v>
      </c>
      <c r="AP37" s="7">
        <f>+AP38+AP47</f>
        <v>256608.068</v>
      </c>
      <c r="AQ37" s="123">
        <f>AP37/AO37%</f>
        <v>34.254098148387932</v>
      </c>
    </row>
    <row r="38" spans="1:43" s="129" customFormat="1" x14ac:dyDescent="0.25">
      <c r="A38" s="152" t="s">
        <v>58</v>
      </c>
      <c r="B38" s="7">
        <f>+B41+B44+B45+B46</f>
        <v>16643652</v>
      </c>
      <c r="C38" s="7">
        <f t="shared" ref="C38" si="1">+C41+C44+C45+C46</f>
        <v>4151005.8923333338</v>
      </c>
      <c r="D38" s="151">
        <f>C38/B38%</f>
        <v>24.940475157335264</v>
      </c>
      <c r="E38" s="7">
        <f>+B38-H38</f>
        <v>7591814</v>
      </c>
      <c r="F38" s="7">
        <f>+C38-I38</f>
        <v>1803324.4663333339</v>
      </c>
      <c r="G38" s="123">
        <f>F38/E38%</f>
        <v>23.753538565793814</v>
      </c>
      <c r="H38" s="7">
        <f>+K38+N38+Q38+T38+W38+Z38+AC38+AF38+AI38+AL38+AO38</f>
        <v>9051838</v>
      </c>
      <c r="I38" s="7">
        <f>+L38+O38+R38+U38+X38+AA38+AD38+AG38+AJ38+AM38+AP38</f>
        <v>2347681.426</v>
      </c>
      <c r="J38" s="151">
        <f>I38/H38%</f>
        <v>25.935963789895489</v>
      </c>
      <c r="K38" s="7">
        <f>+K41+K44+K45+K46</f>
        <v>1136172</v>
      </c>
      <c r="L38" s="7">
        <f>+L41+L44+L46</f>
        <v>299555.96700000006</v>
      </c>
      <c r="M38" s="123">
        <f>L38/K38%</f>
        <v>26.365371352224845</v>
      </c>
      <c r="N38" s="7">
        <f>+N41+N44+N45+N46</f>
        <v>583310</v>
      </c>
      <c r="O38" s="7">
        <f>+O41+O44+O46</f>
        <v>128291.064</v>
      </c>
      <c r="P38" s="123">
        <f>O38/N38%</f>
        <v>21.993633573914384</v>
      </c>
      <c r="Q38" s="7">
        <f>+Q41+Q44+Q45+Q46</f>
        <v>725329</v>
      </c>
      <c r="R38" s="7">
        <f>+R41+R44+R46</f>
        <v>217191.81099999999</v>
      </c>
      <c r="S38" s="123">
        <f>R38/Q38%</f>
        <v>29.943902835816573</v>
      </c>
      <c r="T38" s="7">
        <f>+T41+T44+T45+T46</f>
        <v>1121574</v>
      </c>
      <c r="U38" s="7">
        <f>+U41+U44+U46</f>
        <v>322259.22200000001</v>
      </c>
      <c r="V38" s="123">
        <f>U38/T38%</f>
        <v>28.73276502486684</v>
      </c>
      <c r="W38" s="7">
        <f>+W41+W44+W45+W46</f>
        <v>855645</v>
      </c>
      <c r="X38" s="7">
        <f>+X41+X44+X46</f>
        <v>248209.427</v>
      </c>
      <c r="Y38" s="123">
        <f>X38/W38%</f>
        <v>29.00845876502521</v>
      </c>
      <c r="Z38" s="7">
        <f>+Z41+Z44+Z45+Z46</f>
        <v>815265</v>
      </c>
      <c r="AA38" s="7">
        <f>+AA41+AA44+AA46</f>
        <v>231954.04100000003</v>
      </c>
      <c r="AB38" s="123">
        <f>AA38/Z38%</f>
        <v>28.451367469473119</v>
      </c>
      <c r="AC38" s="7">
        <f>+AC41+AC44+AC45+AC46</f>
        <v>746555</v>
      </c>
      <c r="AD38" s="7">
        <f>+AD41+AD44+AD46</f>
        <v>213034.71799999999</v>
      </c>
      <c r="AE38" s="123">
        <f>AD38/AC38%</f>
        <v>28.535703062734829</v>
      </c>
      <c r="AF38" s="7">
        <f>+AF41+AF44+AF45+AF46</f>
        <v>823023</v>
      </c>
      <c r="AG38" s="7">
        <f>+AG41+AG44+AG46</f>
        <v>53165.607000000011</v>
      </c>
      <c r="AH38" s="123">
        <f>AG38/AF38%</f>
        <v>6.4597960202813303</v>
      </c>
      <c r="AI38" s="7">
        <f>+AI41+AI44+AI45+AI46</f>
        <v>778033</v>
      </c>
      <c r="AJ38" s="7">
        <f>+AJ41+AJ44+AJ46</f>
        <v>231217.83000000002</v>
      </c>
      <c r="AK38" s="123">
        <f>AJ38/AI38%</f>
        <v>29.718254881219693</v>
      </c>
      <c r="AL38" s="7">
        <f>+AL41+AL44+AL45+AL46</f>
        <v>717906</v>
      </c>
      <c r="AM38" s="7">
        <f>+AM41+AM44+AM46</f>
        <v>197593.671</v>
      </c>
      <c r="AN38" s="123">
        <f>AM38/AL38%</f>
        <v>27.52361325856031</v>
      </c>
      <c r="AO38" s="7">
        <f>+AO41+AO44+AO45+AO46</f>
        <v>749026</v>
      </c>
      <c r="AP38" s="7">
        <f>+AP41+AP44+AP46</f>
        <v>205208.068</v>
      </c>
      <c r="AQ38" s="123">
        <f>AP38/AO38%</f>
        <v>27.396654855772695</v>
      </c>
    </row>
    <row r="39" spans="1:43" s="129" customFormat="1" hidden="1" x14ac:dyDescent="0.25">
      <c r="A39" s="152" t="s">
        <v>113</v>
      </c>
      <c r="B39" s="7">
        <f>+B41+B44</f>
        <v>15339122</v>
      </c>
      <c r="C39" s="7">
        <f>+C41+C44</f>
        <v>3947284.2256666673</v>
      </c>
      <c r="D39" s="151">
        <f>C39/B39%</f>
        <v>25.733443059300704</v>
      </c>
      <c r="E39" s="7">
        <f>+B39-H39</f>
        <v>7071693</v>
      </c>
      <c r="F39" s="7">
        <f>+C39-I39</f>
        <v>1599602.7996666674</v>
      </c>
      <c r="G39" s="123">
        <f>F39/E39%</f>
        <v>22.619799808428724</v>
      </c>
      <c r="H39" s="7">
        <f>+K39+N39+Q39+T39+W39+Z39+AC39+AF39+AI39+AL39+AO39</f>
        <v>8267429</v>
      </c>
      <c r="I39" s="7">
        <f>+L39+O39+R39+U39+X39+AA39+AD39+AG39+AJ39+AM39+AP39</f>
        <v>2347681.426</v>
      </c>
      <c r="J39" s="151">
        <f>I39/H39%</f>
        <v>28.396753404232442</v>
      </c>
      <c r="K39" s="7">
        <f>+K41+K44</f>
        <v>977315</v>
      </c>
      <c r="L39" s="7">
        <f>+L41+L44</f>
        <v>299555.96700000006</v>
      </c>
      <c r="M39" s="123">
        <f>L39/K39%</f>
        <v>30.650912653545692</v>
      </c>
      <c r="N39" s="7">
        <f>+N41+N44</f>
        <v>501467</v>
      </c>
      <c r="O39" s="7">
        <f>+O41+O44</f>
        <v>128291.064</v>
      </c>
      <c r="P39" s="123">
        <f>O39/N39%</f>
        <v>25.583151832523377</v>
      </c>
      <c r="Q39" s="7">
        <f>+Q41+Q44</f>
        <v>677393</v>
      </c>
      <c r="R39" s="7">
        <f>+R41+R44</f>
        <v>217191.81099999999</v>
      </c>
      <c r="S39" s="123">
        <f>R39/Q39%</f>
        <v>32.062895689798978</v>
      </c>
      <c r="T39" s="7">
        <f>+T41+T44</f>
        <v>1031708</v>
      </c>
      <c r="U39" s="7">
        <f>+U41+U44</f>
        <v>322259.22200000001</v>
      </c>
      <c r="V39" s="123">
        <f>U39/T39%</f>
        <v>31.235506751910425</v>
      </c>
      <c r="W39" s="7">
        <f>+W41+W44</f>
        <v>794922</v>
      </c>
      <c r="X39" s="7">
        <f>+X41+X44</f>
        <v>248209.427</v>
      </c>
      <c r="Y39" s="123">
        <f>X39/W39%</f>
        <v>31.22437509592136</v>
      </c>
      <c r="Z39" s="7">
        <f>+Z41+Z44</f>
        <v>757040</v>
      </c>
      <c r="AA39" s="7">
        <f>+AA41+AA44</f>
        <v>231954.04100000003</v>
      </c>
      <c r="AB39" s="123">
        <f>AA39/Z39%</f>
        <v>30.639601738349366</v>
      </c>
      <c r="AC39" s="7">
        <f>+AC41+AC44</f>
        <v>697597</v>
      </c>
      <c r="AD39" s="7">
        <f>+AD41+AD44</f>
        <v>213034.71799999999</v>
      </c>
      <c r="AE39" s="123">
        <f>AD39/AC39%</f>
        <v>30.538364987234747</v>
      </c>
      <c r="AF39" s="7">
        <f>+AF41+AF44</f>
        <v>760234</v>
      </c>
      <c r="AG39" s="7">
        <f>+AG41+AG44</f>
        <v>53165.607000000011</v>
      </c>
      <c r="AH39" s="123">
        <f>AG39/AF39%</f>
        <v>6.9933213984115428</v>
      </c>
      <c r="AI39" s="7">
        <f>+AI41+AI44</f>
        <v>719857</v>
      </c>
      <c r="AJ39" s="7">
        <f>+AJ41+AJ44</f>
        <v>231217.83000000002</v>
      </c>
      <c r="AK39" s="123">
        <f>AJ39/AI39%</f>
        <v>32.119966882311353</v>
      </c>
      <c r="AL39" s="7">
        <f>+AL41+AL44</f>
        <v>663076</v>
      </c>
      <c r="AM39" s="7">
        <f>+AM41+AM44</f>
        <v>197593.671</v>
      </c>
      <c r="AN39" s="123">
        <f>AM39/AL39%</f>
        <v>29.799551031857586</v>
      </c>
      <c r="AO39" s="7">
        <f>+AO41+AO44</f>
        <v>686820</v>
      </c>
      <c r="AP39" s="7">
        <f>+AP41+AP44</f>
        <v>205208.068</v>
      </c>
      <c r="AQ39" s="123">
        <f>AP39/AO39%</f>
        <v>29.877998311056754</v>
      </c>
    </row>
    <row r="40" spans="1:43" s="130" customFormat="1" hidden="1" x14ac:dyDescent="0.25">
      <c r="A40" s="153" t="s">
        <v>114</v>
      </c>
      <c r="B40" s="154">
        <f>+B39-B26-B36</f>
        <v>12829122</v>
      </c>
      <c r="C40" s="154">
        <f>+C39-C26-C36</f>
        <v>2932224.2656666674</v>
      </c>
      <c r="D40" s="155">
        <f>C40/B40%</f>
        <v>22.856001101764154</v>
      </c>
      <c r="E40" s="154">
        <f>+B40-H40</f>
        <v>4921693</v>
      </c>
      <c r="F40" s="154">
        <f>+C40-I40</f>
        <v>667921.16166666755</v>
      </c>
      <c r="G40" s="124">
        <f>F40/E40%</f>
        <v>13.57096352142784</v>
      </c>
      <c r="H40" s="154">
        <f>+K40+N40+Q40+T40+W40+Z40+AC40+AF40+AI40+AL40+AO40</f>
        <v>7907429</v>
      </c>
      <c r="I40" s="154">
        <f>+L40+O40+R40+U40+X40+AA40+AD40+AG40+AJ40+AM40+AP40</f>
        <v>2264303.1039999998</v>
      </c>
      <c r="J40" s="155">
        <f>I40/H40%</f>
        <v>28.635136704989701</v>
      </c>
      <c r="K40" s="154">
        <f>+K39-K26-K36</f>
        <v>827315</v>
      </c>
      <c r="L40" s="154">
        <f>+L39-L26-L36</f>
        <v>273238.07300000009</v>
      </c>
      <c r="M40" s="124">
        <f>L40/K40%</f>
        <v>33.027090406918781</v>
      </c>
      <c r="N40" s="154">
        <f>+N39-N26-N36</f>
        <v>471467</v>
      </c>
      <c r="O40" s="154">
        <f>+O39-O26-O36</f>
        <v>120146.961</v>
      </c>
      <c r="P40" s="124">
        <f>O40/N40%</f>
        <v>25.483641697085904</v>
      </c>
      <c r="Q40" s="154">
        <f>+Q39-Q26-Q36</f>
        <v>642393</v>
      </c>
      <c r="R40" s="154">
        <f>+R39-R26-R36</f>
        <v>214024.147</v>
      </c>
      <c r="S40" s="124">
        <f>R40/Q40%</f>
        <v>33.316699746105577</v>
      </c>
      <c r="T40" s="154">
        <f>+T39-T26-T36</f>
        <v>1001708</v>
      </c>
      <c r="U40" s="154">
        <f>+U39-U26-U36</f>
        <v>305095.20799999998</v>
      </c>
      <c r="V40" s="124">
        <f>U40/T40%</f>
        <v>30.457499391040102</v>
      </c>
      <c r="W40" s="154">
        <f>+W39-W26-W36</f>
        <v>764922</v>
      </c>
      <c r="X40" s="154">
        <f>+X39-X26-X36</f>
        <v>243325.185</v>
      </c>
      <c r="Y40" s="124">
        <f>X40/W40%</f>
        <v>31.810457144650041</v>
      </c>
      <c r="Z40" s="154">
        <f>+Z39-Z26-Z36</f>
        <v>747040</v>
      </c>
      <c r="AA40" s="154">
        <f>+AA39-AA26-AA36</f>
        <v>230086.48400000003</v>
      </c>
      <c r="AB40" s="124">
        <f>AA40/Z40%</f>
        <v>30.799754230027848</v>
      </c>
      <c r="AC40" s="154">
        <f>+AC39-AC26-AC36</f>
        <v>687597</v>
      </c>
      <c r="AD40" s="154">
        <f>+AD39-AD26-AD36</f>
        <v>205299.005</v>
      </c>
      <c r="AE40" s="124">
        <f>AD40/AC40%</f>
        <v>29.857460838252639</v>
      </c>
      <c r="AF40" s="154">
        <f>+AF39-AF26-AF36</f>
        <v>740234</v>
      </c>
      <c r="AG40" s="154">
        <f>+AG39-AG26-AG36</f>
        <v>50427.693000000014</v>
      </c>
      <c r="AH40" s="124">
        <f>AG40/AF40%</f>
        <v>6.8123989170991894</v>
      </c>
      <c r="AI40" s="154">
        <f>+AI39-AI26-AI36</f>
        <v>704857</v>
      </c>
      <c r="AJ40" s="154">
        <f>+AJ39-AJ26-AJ36</f>
        <v>228166.52500000002</v>
      </c>
      <c r="AK40" s="124">
        <f>AJ40/AI40%</f>
        <v>32.370612053224988</v>
      </c>
      <c r="AL40" s="154">
        <f>+AL39-AL26-AL36</f>
        <v>648076</v>
      </c>
      <c r="AM40" s="154">
        <f>+AM39-AM26-AM36</f>
        <v>192485.85500000001</v>
      </c>
      <c r="AN40" s="124">
        <f>AM40/AL40%</f>
        <v>29.701123787950795</v>
      </c>
      <c r="AO40" s="154">
        <f>+AO39-AO26-AO36</f>
        <v>671820</v>
      </c>
      <c r="AP40" s="154">
        <f>+AP39-AP26-AP36</f>
        <v>202007.96799999999</v>
      </c>
      <c r="AQ40" s="124">
        <f>AP40/AO40%</f>
        <v>30.068763656931917</v>
      </c>
    </row>
    <row r="41" spans="1:43" x14ac:dyDescent="0.25">
      <c r="A41" s="156" t="s">
        <v>59</v>
      </c>
      <c r="B41" s="147">
        <f>+B9-B19-B22-B31</f>
        <v>6523000</v>
      </c>
      <c r="C41" s="147">
        <f>+C9-C19-C22-C31</f>
        <v>2477930.5590000004</v>
      </c>
      <c r="D41" s="8">
        <f>C41/B41%</f>
        <v>37.987590970412391</v>
      </c>
      <c r="E41" s="147">
        <f>+B41-H41</f>
        <v>4564930</v>
      </c>
      <c r="F41" s="147">
        <f>+C41-I41</f>
        <v>1773320.3830000004</v>
      </c>
      <c r="G41" s="8">
        <f>F41/E41%</f>
        <v>38.846606256831983</v>
      </c>
      <c r="H41" s="147">
        <f>+K41+N41+Q41+T41+W41+Z41+AC41+AF41+AI41+AL41+AO41</f>
        <v>1958070</v>
      </c>
      <c r="I41" s="147">
        <f>+L41+O41+R41+U41+X41+AA41+AD41+AG41+AJ41+AM41+AP41</f>
        <v>704610.17599999986</v>
      </c>
      <c r="J41" s="8">
        <f>I41/H41%</f>
        <v>35.984932918639267</v>
      </c>
      <c r="K41" s="147">
        <f>+K9-K11-K12-K19-K22-K31</f>
        <v>867083</v>
      </c>
      <c r="L41" s="147">
        <f>+L9-L19-L22-L31-L11-L12-L23-L33-L28</f>
        <v>266485.96700000006</v>
      </c>
      <c r="M41" s="8">
        <f>L41/K41%</f>
        <v>30.733616850981978</v>
      </c>
      <c r="N41" s="147">
        <f>+N9-N11-N12-N19-N22-N31</f>
        <v>156050</v>
      </c>
      <c r="O41" s="147">
        <f>+O9-O19-O22-O31-O11-O12-O23-O33-O28</f>
        <v>45126.813999999998</v>
      </c>
      <c r="P41" s="8">
        <f>O41/N41%</f>
        <v>28.918176225568725</v>
      </c>
      <c r="Q41" s="147">
        <f>+Q9-Q11-Q12-Q19-Q22-Q31</f>
        <v>121550</v>
      </c>
      <c r="R41" s="147">
        <f>+R9-R19-R22-R31-R11-R12-R23-R33-R28</f>
        <v>61762.811000000002</v>
      </c>
      <c r="S41" s="8">
        <f>R41/Q41%</f>
        <v>50.812678733031674</v>
      </c>
      <c r="T41" s="147">
        <f>+T9-T11-T12-T19-T22-T31</f>
        <v>162887</v>
      </c>
      <c r="U41" s="147">
        <f>+U9-U19-U22-U31-U11-U12-U23-U33-U28-0.673</f>
        <v>68075.722000000009</v>
      </c>
      <c r="V41" s="8">
        <f>U41/T41%</f>
        <v>41.79321983952066</v>
      </c>
      <c r="W41" s="147">
        <f>+W9-W11-W12-W19-W22-W31</f>
        <v>107650</v>
      </c>
      <c r="X41" s="147">
        <f>+X9-X19-X22-X31-X11-X12-X23-X33-X28</f>
        <v>42427.176999999996</v>
      </c>
      <c r="Y41" s="8">
        <f>X41/W41%</f>
        <v>39.412147700882485</v>
      </c>
      <c r="Z41" s="147">
        <f>+Z9-Z11-Z12-Z19-Z22-Z31</f>
        <v>102060</v>
      </c>
      <c r="AA41" s="147">
        <f>+AA9-AA19-AA22-AA31-AA11-AA12-AA23-AA33-AA28+7.824</f>
        <v>41405.291000000012</v>
      </c>
      <c r="AB41" s="8">
        <f>AA41/Z41%</f>
        <v>40.569558103076631</v>
      </c>
      <c r="AC41" s="147">
        <f>+AC9-AC11-AC12-AC19-AC22-AC31</f>
        <v>87560</v>
      </c>
      <c r="AD41" s="147">
        <f>+AD9-AD19-AD22-AD31-AD11-AD12-AD23-AD33-AD28</f>
        <v>35717.218000000001</v>
      </c>
      <c r="AE41" s="8">
        <f>AD41/AC41%</f>
        <v>40.791706258565554</v>
      </c>
      <c r="AF41" s="147">
        <f>+AF9-AF11-AF12-AF19-AF22-AF31</f>
        <v>98000</v>
      </c>
      <c r="AG41" s="147">
        <f>+AG9-AG19-AG22-AG31-AG11-AG12-AG23-AG33-AG28</f>
        <v>33165.607000000011</v>
      </c>
      <c r="AH41" s="8">
        <f>AG41/AF41%</f>
        <v>33.842456122448993</v>
      </c>
      <c r="AI41" s="147">
        <f>+AI9-AI11-AI12-AI19-AI22-AI31</f>
        <v>111050</v>
      </c>
      <c r="AJ41" s="147">
        <f>+AJ9-AJ19-AJ22-AJ31-AJ11-AJ12-AJ23-AJ33-AJ28</f>
        <v>50248.83</v>
      </c>
      <c r="AK41" s="8">
        <f>AJ41/AI41%</f>
        <v>45.248833858622241</v>
      </c>
      <c r="AL41" s="147">
        <f>+AL9-AL11-AL12-AL19-AL22-AL31-AL20</f>
        <v>77130</v>
      </c>
      <c r="AM41" s="147">
        <f t="shared" ref="AM41" si="2">+AM9-AM19-AM22-AM31-AM11-AM12-AM23-AM33-AM28-AM20</f>
        <v>25366.170999999998</v>
      </c>
      <c r="AN41" s="8">
        <f>AM41/AL41%</f>
        <v>32.887554777648127</v>
      </c>
      <c r="AO41" s="147">
        <f>+AO9-AO11-AO12-AO19-AO22-AO31</f>
        <v>67050</v>
      </c>
      <c r="AP41" s="147">
        <f>+AP9-AP19-AP22-AP31-AP11-AP12-AP23-AP33-AP28</f>
        <v>34828.568000000007</v>
      </c>
      <c r="AQ41" s="8">
        <f>AP41/AO41%</f>
        <v>51.944173005219994</v>
      </c>
    </row>
    <row r="42" spans="1:43" hidden="1" x14ac:dyDescent="0.25">
      <c r="A42" s="156" t="s">
        <v>115</v>
      </c>
      <c r="B42" s="147">
        <v>6892230</v>
      </c>
      <c r="C42" s="147">
        <v>6892230</v>
      </c>
      <c r="D42" s="8">
        <f>C42/B42%</f>
        <v>100</v>
      </c>
      <c r="E42" s="147">
        <f>+B42-H42</f>
        <v>-68922300</v>
      </c>
      <c r="F42" s="147">
        <f>+C42-I42</f>
        <v>-68922300</v>
      </c>
      <c r="G42" s="8">
        <f>F42/E42%</f>
        <v>100</v>
      </c>
      <c r="H42" s="147">
        <f>+K42+N42+Q42+T42+W42+Z42+AC42+AF42+AI42+AL42+AO42</f>
        <v>75814530</v>
      </c>
      <c r="I42" s="147">
        <f>+L42+O42+R42+U42+X42+AA42+AD42+AG42+AJ42+AM42+AP42</f>
        <v>75814530</v>
      </c>
      <c r="J42" s="8">
        <f>I42/H42%</f>
        <v>100</v>
      </c>
      <c r="K42" s="147">
        <v>6892230</v>
      </c>
      <c r="L42" s="147">
        <v>6892230</v>
      </c>
      <c r="M42" s="8">
        <f>L42/K42%</f>
        <v>100</v>
      </c>
      <c r="N42" s="147">
        <v>6892230</v>
      </c>
      <c r="O42" s="147">
        <v>6892230</v>
      </c>
      <c r="P42" s="8">
        <f>O42/N42%</f>
        <v>100</v>
      </c>
      <c r="Q42" s="147">
        <v>6892230</v>
      </c>
      <c r="R42" s="147">
        <v>6892230</v>
      </c>
      <c r="S42" s="8">
        <f>R42/Q42%</f>
        <v>100</v>
      </c>
      <c r="T42" s="147">
        <v>6892230</v>
      </c>
      <c r="U42" s="147">
        <v>6892230</v>
      </c>
      <c r="V42" s="8">
        <f>U42/T42%</f>
        <v>100</v>
      </c>
      <c r="W42" s="147">
        <v>6892230</v>
      </c>
      <c r="X42" s="147">
        <v>6892230</v>
      </c>
      <c r="Y42" s="8">
        <f>X42/W42%</f>
        <v>100</v>
      </c>
      <c r="Z42" s="147">
        <v>6892230</v>
      </c>
      <c r="AA42" s="147">
        <v>6892230</v>
      </c>
      <c r="AB42" s="8">
        <f>AA42/Z42%</f>
        <v>100</v>
      </c>
      <c r="AC42" s="147">
        <v>6892230</v>
      </c>
      <c r="AD42" s="147">
        <v>6892230</v>
      </c>
      <c r="AE42" s="8">
        <f>AD42/AC42%</f>
        <v>100</v>
      </c>
      <c r="AF42" s="147">
        <v>6892230</v>
      </c>
      <c r="AG42" s="147">
        <v>6892230</v>
      </c>
      <c r="AH42" s="8">
        <f>AG42/AF42%</f>
        <v>100</v>
      </c>
      <c r="AI42" s="147">
        <v>6892230</v>
      </c>
      <c r="AJ42" s="147">
        <v>6892230</v>
      </c>
      <c r="AK42" s="8">
        <f>AJ42/AI42%</f>
        <v>100</v>
      </c>
      <c r="AL42" s="147">
        <v>6892230</v>
      </c>
      <c r="AM42" s="147">
        <v>6892230</v>
      </c>
      <c r="AN42" s="8">
        <f>AM42/AL42%</f>
        <v>100</v>
      </c>
      <c r="AO42" s="147">
        <v>6892230</v>
      </c>
      <c r="AP42" s="147">
        <v>6892230</v>
      </c>
      <c r="AQ42" s="8">
        <f>AP42/AO42%</f>
        <v>100</v>
      </c>
    </row>
    <row r="43" spans="1:43" hidden="1" x14ac:dyDescent="0.25">
      <c r="A43" s="156" t="s">
        <v>116</v>
      </c>
      <c r="B43" s="147">
        <v>2021825</v>
      </c>
      <c r="C43" s="147">
        <v>2021825</v>
      </c>
      <c r="D43" s="8">
        <f>C43/B43%</f>
        <v>100</v>
      </c>
      <c r="E43" s="147">
        <f>+B43-H43</f>
        <v>-20218250</v>
      </c>
      <c r="F43" s="147">
        <f>+C43-I43</f>
        <v>-20218250</v>
      </c>
      <c r="G43" s="8">
        <f>F43/E43%</f>
        <v>100</v>
      </c>
      <c r="H43" s="147">
        <f>+K43+N43+Q43+T43+W43+Z43+AC43+AF43+AI43+AL43+AO43</f>
        <v>22240075</v>
      </c>
      <c r="I43" s="147">
        <f>+L43+O43+R43+U43+X43+AA43+AD43+AG43+AJ43+AM43+AP43</f>
        <v>22240075</v>
      </c>
      <c r="J43" s="8">
        <f>I43/H43%</f>
        <v>100</v>
      </c>
      <c r="K43" s="147">
        <v>2021825</v>
      </c>
      <c r="L43" s="147">
        <v>2021825</v>
      </c>
      <c r="M43" s="8">
        <f>L43/K43%</f>
        <v>100</v>
      </c>
      <c r="N43" s="147">
        <v>2021825</v>
      </c>
      <c r="O43" s="147">
        <v>2021825</v>
      </c>
      <c r="P43" s="8">
        <f>O43/N43%</f>
        <v>100</v>
      </c>
      <c r="Q43" s="147">
        <v>2021825</v>
      </c>
      <c r="R43" s="147">
        <v>2021825</v>
      </c>
      <c r="S43" s="8">
        <f>R43/Q43%</f>
        <v>100</v>
      </c>
      <c r="T43" s="147">
        <v>2021825</v>
      </c>
      <c r="U43" s="147">
        <v>2021825</v>
      </c>
      <c r="V43" s="8">
        <f>U43/T43%</f>
        <v>100</v>
      </c>
      <c r="W43" s="147">
        <v>2021825</v>
      </c>
      <c r="X43" s="147">
        <v>2021825</v>
      </c>
      <c r="Y43" s="8">
        <f>X43/W43%</f>
        <v>100</v>
      </c>
      <c r="Z43" s="147">
        <v>2021825</v>
      </c>
      <c r="AA43" s="147">
        <v>2021825</v>
      </c>
      <c r="AB43" s="8">
        <f>AA43/Z43%</f>
        <v>100</v>
      </c>
      <c r="AC43" s="147">
        <v>2021825</v>
      </c>
      <c r="AD43" s="147">
        <v>2021825</v>
      </c>
      <c r="AE43" s="8">
        <f>AD43/AC43%</f>
        <v>100</v>
      </c>
      <c r="AF43" s="147">
        <v>2021825</v>
      </c>
      <c r="AG43" s="147">
        <v>2021825</v>
      </c>
      <c r="AH43" s="8">
        <f>AG43/AF43%</f>
        <v>100</v>
      </c>
      <c r="AI43" s="147">
        <v>2021825</v>
      </c>
      <c r="AJ43" s="147">
        <v>2021825</v>
      </c>
      <c r="AK43" s="8">
        <f>AJ43/AI43%</f>
        <v>100</v>
      </c>
      <c r="AL43" s="147">
        <v>2021825</v>
      </c>
      <c r="AM43" s="147">
        <v>2021825</v>
      </c>
      <c r="AN43" s="8">
        <f>AM43/AL43%</f>
        <v>100</v>
      </c>
      <c r="AO43" s="147">
        <v>2021825</v>
      </c>
      <c r="AP43" s="147">
        <v>2021825</v>
      </c>
      <c r="AQ43" s="8">
        <f>AP43/AO43%</f>
        <v>100</v>
      </c>
    </row>
    <row r="44" spans="1:43" x14ac:dyDescent="0.25">
      <c r="A44" s="156" t="s">
        <v>89</v>
      </c>
      <c r="B44" s="4">
        <v>8816122</v>
      </c>
      <c r="C44" s="4">
        <v>1469353.6666666667</v>
      </c>
      <c r="D44" s="8">
        <f>C44/B44%</f>
        <v>16.666666666666668</v>
      </c>
      <c r="E44" s="4">
        <f>+B44-H44</f>
        <v>2506763</v>
      </c>
      <c r="F44" s="4">
        <f>+C44-I44</f>
        <v>-173717.58333333326</v>
      </c>
      <c r="G44" s="8">
        <f>F44/E44%</f>
        <v>-6.9299564152388262</v>
      </c>
      <c r="H44" s="4">
        <f>+K44+N44+Q44+T44+W44+Z44+AC44+AF44+AI44+AL44+AO44</f>
        <v>6309359</v>
      </c>
      <c r="I44" s="4">
        <f>+L44+O44+R44+U44+X44+AA44+AD44+AG44+AJ44+AM44+AP44</f>
        <v>1643071.25</v>
      </c>
      <c r="J44" s="8">
        <f>I44/H44%</f>
        <v>26.041809477000754</v>
      </c>
      <c r="K44" s="4">
        <v>110232</v>
      </c>
      <c r="L44" s="4">
        <v>33070</v>
      </c>
      <c r="M44" s="8">
        <f>L44/K44%</f>
        <v>30.000362871035637</v>
      </c>
      <c r="N44" s="4">
        <v>345417</v>
      </c>
      <c r="O44" s="4">
        <f>103625-O45</f>
        <v>83164.25</v>
      </c>
      <c r="P44" s="8">
        <f>O44/N44%</f>
        <v>24.076478575171461</v>
      </c>
      <c r="Q44" s="4">
        <v>555843</v>
      </c>
      <c r="R44" s="4">
        <f>167413-R45</f>
        <v>155429</v>
      </c>
      <c r="S44" s="8">
        <f>R44/Q44%</f>
        <v>27.962752072077905</v>
      </c>
      <c r="T44" s="4">
        <v>868821</v>
      </c>
      <c r="U44" s="4">
        <f>276650-U45</f>
        <v>254183.5</v>
      </c>
      <c r="V44" s="8">
        <f>U44/T44%</f>
        <v>29.25614136859031</v>
      </c>
      <c r="W44" s="4">
        <v>687272</v>
      </c>
      <c r="X44" s="4">
        <f>220963-X45</f>
        <v>205782.25</v>
      </c>
      <c r="Y44" s="8">
        <f>X44/W44%</f>
        <v>29.941893457030112</v>
      </c>
      <c r="Z44" s="4">
        <v>654980</v>
      </c>
      <c r="AA44" s="4">
        <f>205105-AA45</f>
        <v>190548.75</v>
      </c>
      <c r="AB44" s="8">
        <f>AA44/Z44%</f>
        <v>29.092300528260402</v>
      </c>
      <c r="AC44" s="4">
        <v>610037</v>
      </c>
      <c r="AD44" s="4">
        <f>189557-AD45</f>
        <v>177317.5</v>
      </c>
      <c r="AE44" s="8">
        <f>AD44/AC44%</f>
        <v>29.066679562059353</v>
      </c>
      <c r="AF44" s="4">
        <v>662234</v>
      </c>
      <c r="AG44" s="4">
        <v>20000</v>
      </c>
      <c r="AH44" s="8">
        <f>AG44/AF44%</f>
        <v>3.0200805153465389</v>
      </c>
      <c r="AI44" s="4">
        <v>608807</v>
      </c>
      <c r="AJ44" s="4">
        <f>195513-AJ45</f>
        <v>180969</v>
      </c>
      <c r="AK44" s="8">
        <f>AJ44/AI44%</f>
        <v>29.725183843155548</v>
      </c>
      <c r="AL44" s="4">
        <v>585946</v>
      </c>
      <c r="AM44" s="4">
        <f>185935-AM45</f>
        <v>172227.5</v>
      </c>
      <c r="AN44" s="8">
        <f>AM44/AL44%</f>
        <v>29.393066937908955</v>
      </c>
      <c r="AO44" s="4">
        <v>619770</v>
      </c>
      <c r="AP44" s="4">
        <f>185931-AP45</f>
        <v>170379.5</v>
      </c>
      <c r="AQ44" s="8">
        <f>AP44/AO44%</f>
        <v>27.490762702292788</v>
      </c>
    </row>
    <row r="45" spans="1:43" x14ac:dyDescent="0.25">
      <c r="A45" s="156" t="s">
        <v>78</v>
      </c>
      <c r="B45" s="4">
        <v>1222330</v>
      </c>
      <c r="C45" s="4">
        <v>203721.66666666666</v>
      </c>
      <c r="D45" s="8">
        <f>C45/B45%</f>
        <v>16.666666666666668</v>
      </c>
      <c r="E45" s="4">
        <f>+B45-H45</f>
        <v>437921</v>
      </c>
      <c r="F45" s="4">
        <f>+C45-I45</f>
        <v>63030.916666666657</v>
      </c>
      <c r="G45" s="8">
        <f>F45/E45%</f>
        <v>14.393216280257548</v>
      </c>
      <c r="H45" s="4">
        <f>+K45+N45+Q45+T45+W45+Z45+AC45+AF45+AI45+AL45+AO45</f>
        <v>784409</v>
      </c>
      <c r="I45" s="4">
        <f>+L45+O45+R45+U45+X45+AA45+AD45+AG45+AJ45+AM45+AP45</f>
        <v>140690.75</v>
      </c>
      <c r="J45" s="8">
        <f>I45/H45%</f>
        <v>17.935891862536</v>
      </c>
      <c r="K45" s="4">
        <v>158857</v>
      </c>
      <c r="L45" s="4"/>
      <c r="M45" s="8">
        <f>L45/K45%</f>
        <v>0</v>
      </c>
      <c r="N45" s="4">
        <v>81843</v>
      </c>
      <c r="O45" s="4">
        <f>+N45/12*3</f>
        <v>20460.75</v>
      </c>
      <c r="P45" s="8">
        <f>O45/N45%</f>
        <v>25</v>
      </c>
      <c r="Q45" s="4">
        <v>47936</v>
      </c>
      <c r="R45" s="4">
        <f>+Q45/12*3</f>
        <v>11984</v>
      </c>
      <c r="S45" s="8">
        <f>R45/Q45%</f>
        <v>25</v>
      </c>
      <c r="T45" s="4">
        <v>89866</v>
      </c>
      <c r="U45" s="4">
        <f>+T45/12*3</f>
        <v>22466.5</v>
      </c>
      <c r="V45" s="8">
        <f>U45/T45%</f>
        <v>25</v>
      </c>
      <c r="W45" s="4">
        <v>60723</v>
      </c>
      <c r="X45" s="4">
        <f>+W45/12*3</f>
        <v>15180.75</v>
      </c>
      <c r="Y45" s="8">
        <f>X45/W45%</f>
        <v>25</v>
      </c>
      <c r="Z45" s="4">
        <v>58225</v>
      </c>
      <c r="AA45" s="4">
        <f>+Z45/12*3</f>
        <v>14556.25</v>
      </c>
      <c r="AB45" s="8">
        <f>AA45/Z45%</f>
        <v>25</v>
      </c>
      <c r="AC45" s="4">
        <v>48958</v>
      </c>
      <c r="AD45" s="4">
        <f>+AC45/12*3</f>
        <v>12239.5</v>
      </c>
      <c r="AE45" s="8">
        <f>AD45/AC45%</f>
        <v>25</v>
      </c>
      <c r="AF45" s="4">
        <v>62789</v>
      </c>
      <c r="AG45" s="4"/>
      <c r="AH45" s="8"/>
      <c r="AI45" s="4">
        <v>58176</v>
      </c>
      <c r="AJ45" s="4">
        <f>+AI45/12*3</f>
        <v>14544</v>
      </c>
      <c r="AK45" s="8">
        <f>AJ45/AI45%</f>
        <v>25</v>
      </c>
      <c r="AL45" s="4">
        <v>54830</v>
      </c>
      <c r="AM45" s="4">
        <f>+AL45/12*3</f>
        <v>13707.5</v>
      </c>
      <c r="AN45" s="8">
        <f>AM45/AL45%</f>
        <v>25.000000000000004</v>
      </c>
      <c r="AO45" s="4">
        <v>62206</v>
      </c>
      <c r="AP45" s="4">
        <f>+AO45/12*3</f>
        <v>15551.5</v>
      </c>
      <c r="AQ45" s="8">
        <f>AP45/AO45%</f>
        <v>25.000000000000004</v>
      </c>
    </row>
    <row r="46" spans="1:43" x14ac:dyDescent="0.25">
      <c r="A46" s="156" t="s">
        <v>60</v>
      </c>
      <c r="B46" s="4">
        <v>82200</v>
      </c>
      <c r="C46" s="4"/>
      <c r="D46" s="8">
        <f>C46/B46%</f>
        <v>0</v>
      </c>
      <c r="E46" s="4">
        <f>+B46-H46</f>
        <v>82200</v>
      </c>
      <c r="F46" s="4">
        <f>+C46-I46</f>
        <v>0</v>
      </c>
      <c r="G46" s="8">
        <f>F46/E46%</f>
        <v>0</v>
      </c>
      <c r="H46" s="4">
        <f>+K46+N46+Q46+T46+W46+Z46+AC46+AF46+AI46+AL46+AO46</f>
        <v>0</v>
      </c>
      <c r="I46" s="4">
        <f>+L46+O46+R46+U46+X46+AA46+AD46+AG46+AJ46+AM46+AP46</f>
        <v>0</v>
      </c>
      <c r="J46" s="8"/>
      <c r="K46" s="4"/>
      <c r="L46" s="4"/>
      <c r="M46" s="8"/>
      <c r="N46" s="4"/>
      <c r="O46" s="4"/>
      <c r="P46" s="8"/>
      <c r="Q46" s="4"/>
      <c r="R46" s="4"/>
      <c r="S46" s="8"/>
      <c r="T46" s="4"/>
      <c r="U46" s="4"/>
      <c r="V46" s="8"/>
      <c r="W46" s="4"/>
      <c r="X46" s="4"/>
      <c r="Y46" s="8"/>
      <c r="Z46" s="4"/>
      <c r="AA46" s="4"/>
      <c r="AB46" s="8"/>
      <c r="AC46" s="4"/>
      <c r="AD46" s="4"/>
      <c r="AE46" s="8"/>
      <c r="AF46" s="4"/>
      <c r="AG46" s="4"/>
      <c r="AH46" s="8"/>
      <c r="AI46" s="4"/>
      <c r="AJ46" s="4"/>
      <c r="AK46" s="8"/>
      <c r="AL46" s="4"/>
      <c r="AM46" s="4"/>
      <c r="AN46" s="8"/>
      <c r="AO46" s="4"/>
      <c r="AP46" s="4"/>
      <c r="AQ46" s="8"/>
    </row>
    <row r="47" spans="1:43" s="129" customFormat="1" x14ac:dyDescent="0.25">
      <c r="A47" s="139" t="s">
        <v>61</v>
      </c>
      <c r="B47" s="9">
        <v>4008994</v>
      </c>
      <c r="C47" s="9">
        <v>634474</v>
      </c>
      <c r="D47" s="10">
        <f>C47/B47%</f>
        <v>15.826264643948083</v>
      </c>
      <c r="E47" s="9">
        <f>+B47-H47</f>
        <v>4007890</v>
      </c>
      <c r="F47" s="9">
        <f>+C47-I47</f>
        <v>127103</v>
      </c>
      <c r="G47" s="10">
        <f>F47/E47%</f>
        <v>3.171319572143946</v>
      </c>
      <c r="H47" s="9">
        <f>+K47+N47+Q47+T47+W47+Z47+AC47+AF47+AI47+AL47+AO47</f>
        <v>1104</v>
      </c>
      <c r="I47" s="9">
        <f>+L47+O47+R47+U47+X47+AA47+AD47+AG47+AJ47+AM47+AP47</f>
        <v>507371</v>
      </c>
      <c r="J47" s="11">
        <f>I47/H47%</f>
        <v>45957.518115942032</v>
      </c>
      <c r="K47" s="9">
        <v>120</v>
      </c>
      <c r="L47" s="9">
        <v>9706</v>
      </c>
      <c r="M47" s="10">
        <f>L47/K47%</f>
        <v>8088.3333333333339</v>
      </c>
      <c r="N47" s="9">
        <v>120</v>
      </c>
      <c r="O47" s="9">
        <v>6774</v>
      </c>
      <c r="P47" s="10">
        <f>O47/N47%</f>
        <v>5645</v>
      </c>
      <c r="Q47" s="9">
        <v>105</v>
      </c>
      <c r="R47" s="9">
        <v>10826</v>
      </c>
      <c r="S47" s="10">
        <f>R47/Q47%</f>
        <v>10310.476190476191</v>
      </c>
      <c r="T47" s="9">
        <v>120</v>
      </c>
      <c r="U47" s="9">
        <v>56384</v>
      </c>
      <c r="V47" s="10">
        <f>U47/T47%</f>
        <v>46986.666666666672</v>
      </c>
      <c r="W47" s="9">
        <v>82</v>
      </c>
      <c r="X47" s="9">
        <v>55260</v>
      </c>
      <c r="Y47" s="11">
        <f>X47/W47%</f>
        <v>67390.243902439033</v>
      </c>
      <c r="Z47" s="9">
        <v>120</v>
      </c>
      <c r="AA47" s="9">
        <v>41243</v>
      </c>
      <c r="AB47" s="11">
        <f>AA47/Z47%</f>
        <v>34369.166666666672</v>
      </c>
      <c r="AC47" s="9">
        <v>120</v>
      </c>
      <c r="AD47" s="9">
        <v>52744</v>
      </c>
      <c r="AE47" s="10">
        <f>AD47/AC47%</f>
        <v>43953.333333333336</v>
      </c>
      <c r="AF47" s="9">
        <v>82</v>
      </c>
      <c r="AG47" s="9"/>
      <c r="AH47" s="10">
        <f>AG47/AF47%</f>
        <v>0</v>
      </c>
      <c r="AI47" s="9">
        <v>70</v>
      </c>
      <c r="AJ47" s="9">
        <v>165979</v>
      </c>
      <c r="AK47" s="11">
        <f>AJ47/AI47%</f>
        <v>237112.85714285716</v>
      </c>
      <c r="AL47" s="9">
        <v>60</v>
      </c>
      <c r="AM47" s="9">
        <v>57055</v>
      </c>
      <c r="AN47" s="11">
        <f>AM47/AL47%</f>
        <v>95091.666666666672</v>
      </c>
      <c r="AO47" s="9">
        <v>105</v>
      </c>
      <c r="AP47" s="9">
        <v>51400</v>
      </c>
      <c r="AQ47" s="10">
        <f>AP47/AO47%</f>
        <v>48952.380952380947</v>
      </c>
    </row>
    <row r="48" spans="1:43" s="129" customFormat="1" x14ac:dyDescent="0.25">
      <c r="A48" s="157"/>
      <c r="B48" s="12"/>
      <c r="C48" s="12"/>
      <c r="D48" s="13"/>
      <c r="E48" s="12">
        <f>+B48-H48</f>
        <v>0</v>
      </c>
      <c r="F48" s="12">
        <f>+C48-I48</f>
        <v>0</v>
      </c>
      <c r="G48" s="13"/>
      <c r="H48" s="12">
        <f>+K48+N48+Q48+T48+W48+Z48+AC48+AF48+AI48+AL48+AO48</f>
        <v>0</v>
      </c>
      <c r="I48" s="12">
        <f>+L48+O48+R48+U48+X48+AA48+AD48+AG48+AJ48+AM48+AP48</f>
        <v>0</v>
      </c>
      <c r="J48" s="13"/>
      <c r="K48" s="12"/>
      <c r="L48" s="12"/>
      <c r="M48" s="13"/>
      <c r="N48" s="12"/>
      <c r="O48" s="12"/>
      <c r="P48" s="13"/>
      <c r="Q48" s="12"/>
      <c r="R48" s="12"/>
      <c r="S48" s="13"/>
      <c r="T48" s="12"/>
      <c r="U48" s="12"/>
      <c r="V48" s="13"/>
      <c r="W48" s="12"/>
      <c r="X48" s="12"/>
      <c r="Y48" s="13"/>
      <c r="Z48" s="12"/>
      <c r="AA48" s="12"/>
      <c r="AB48" s="13"/>
      <c r="AC48" s="12"/>
      <c r="AD48" s="12"/>
      <c r="AE48" s="13"/>
      <c r="AF48" s="12"/>
      <c r="AG48" s="12"/>
      <c r="AH48" s="13"/>
      <c r="AI48" s="12"/>
      <c r="AJ48" s="12"/>
      <c r="AK48" s="13"/>
      <c r="AL48" s="12"/>
      <c r="AM48" s="12"/>
      <c r="AN48" s="13"/>
      <c r="AO48" s="12"/>
      <c r="AP48" s="12"/>
      <c r="AQ48" s="13"/>
    </row>
  </sheetData>
  <mergeCells count="19">
    <mergeCell ref="AC5:AE5"/>
    <mergeCell ref="AF5:AH5"/>
    <mergeCell ref="AI5:AK5"/>
    <mergeCell ref="AL5:AN5"/>
    <mergeCell ref="AO5:AQ5"/>
    <mergeCell ref="Z5:AB5"/>
    <mergeCell ref="A1:P1"/>
    <mergeCell ref="N4:P4"/>
    <mergeCell ref="A5:A6"/>
    <mergeCell ref="B5:D5"/>
    <mergeCell ref="E5:G5"/>
    <mergeCell ref="H5:J5"/>
    <mergeCell ref="K5:M5"/>
    <mergeCell ref="N5:P5"/>
    <mergeCell ref="Q5:S5"/>
    <mergeCell ref="T5:V5"/>
    <mergeCell ref="W5:Y5"/>
    <mergeCell ref="L4:M4"/>
    <mergeCell ref="B2:M2"/>
  </mergeCells>
  <pageMargins left="0.24" right="0.16" top="0.75" bottom="0.75" header="0.3" footer="0.3"/>
  <pageSetup paperSize="9" scale="76" orientation="landscape" blackAndWhite="1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8"/>
  <sheetViews>
    <sheetView tabSelected="1" zoomScale="90" zoomScaleNormal="90" workbookViewId="0">
      <pane xSplit="10" ySplit="7" topLeftCell="AM8" activePane="bottomRight" state="frozen"/>
      <selection pane="topRight" activeCell="N1" sqref="N1"/>
      <selection pane="bottomLeft" activeCell="A9" sqref="A9"/>
      <selection pane="bottomRight" activeCell="H21" sqref="H21"/>
    </sheetView>
  </sheetViews>
  <sheetFormatPr defaultColWidth="8.85546875" defaultRowHeight="15" x14ac:dyDescent="0.25"/>
  <cols>
    <col min="1" max="1" width="48" style="119" bestFit="1" customWidth="1"/>
    <col min="2" max="2" width="12.85546875" style="119" bestFit="1" customWidth="1"/>
    <col min="3" max="3" width="11.85546875" style="119" bestFit="1" customWidth="1"/>
    <col min="4" max="4" width="8.28515625" style="119" bestFit="1" customWidth="1"/>
    <col min="5" max="5" width="12.7109375" style="119" bestFit="1" customWidth="1"/>
    <col min="6" max="6" width="11.5703125" style="119" bestFit="1" customWidth="1"/>
    <col min="7" max="7" width="8.28515625" style="119" bestFit="1" customWidth="1"/>
    <col min="8" max="8" width="12.42578125" style="119" bestFit="1" customWidth="1"/>
    <col min="9" max="9" width="12" style="119" customWidth="1"/>
    <col min="10" max="10" width="9" style="119" bestFit="1" customWidth="1"/>
    <col min="11" max="12" width="11.5703125" style="119" bestFit="1" customWidth="1"/>
    <col min="13" max="13" width="10.42578125" style="119" bestFit="1" customWidth="1"/>
    <col min="14" max="14" width="9.85546875" style="119" bestFit="1" customWidth="1"/>
    <col min="15" max="15" width="10.7109375" style="119" bestFit="1" customWidth="1"/>
    <col min="16" max="16" width="9.85546875" style="119" customWidth="1"/>
    <col min="17" max="17" width="9.85546875" style="119" bestFit="1" customWidth="1"/>
    <col min="18" max="18" width="11" style="119" customWidth="1"/>
    <col min="19" max="19" width="10.140625" style="119" customWidth="1"/>
    <col min="20" max="20" width="11.5703125" style="119" bestFit="1" customWidth="1"/>
    <col min="21" max="21" width="10.28515625" style="119" customWidth="1"/>
    <col min="22" max="22" width="10.42578125" style="119" bestFit="1" customWidth="1"/>
    <col min="23" max="23" width="9.85546875" style="119" bestFit="1" customWidth="1"/>
    <col min="24" max="24" width="10.28515625" style="119" customWidth="1"/>
    <col min="25" max="25" width="10.42578125" style="119" bestFit="1" customWidth="1"/>
    <col min="26" max="26" width="9.85546875" style="119" bestFit="1" customWidth="1"/>
    <col min="27" max="27" width="10.5703125" style="119" customWidth="1"/>
    <col min="28" max="28" width="10.42578125" style="119" bestFit="1" customWidth="1"/>
    <col min="29" max="29" width="9.85546875" style="119" bestFit="1" customWidth="1"/>
    <col min="30" max="30" width="11" style="119" customWidth="1"/>
    <col min="31" max="31" width="10.42578125" style="119" bestFit="1" customWidth="1"/>
    <col min="32" max="32" width="9.85546875" style="119" bestFit="1" customWidth="1"/>
    <col min="33" max="33" width="10.5703125" style="119" bestFit="1" customWidth="1"/>
    <col min="34" max="34" width="10.42578125" style="119" bestFit="1" customWidth="1"/>
    <col min="35" max="35" width="10.28515625" style="119" customWidth="1"/>
    <col min="36" max="36" width="11.5703125" style="119" bestFit="1" customWidth="1"/>
    <col min="37" max="37" width="10" style="119" bestFit="1" customWidth="1"/>
    <col min="38" max="38" width="9.85546875" style="119" bestFit="1" customWidth="1"/>
    <col min="39" max="39" width="11.5703125" style="119" bestFit="1" customWidth="1"/>
    <col min="40" max="40" width="10.140625" style="119" customWidth="1"/>
    <col min="41" max="41" width="9.85546875" style="119" bestFit="1" customWidth="1"/>
    <col min="42" max="43" width="11.5703125" style="119" bestFit="1" customWidth="1"/>
    <col min="44" max="16384" width="8.85546875" style="119"/>
  </cols>
  <sheetData>
    <row r="1" spans="1:43" x14ac:dyDescent="0.2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spans="1:43" ht="18.75" x14ac:dyDescent="0.3">
      <c r="A2" s="109"/>
      <c r="B2" s="110" t="s">
        <v>124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09"/>
      <c r="O2" s="109"/>
      <c r="P2" s="109"/>
    </row>
    <row r="3" spans="1:43" s="163" customFormat="1" x14ac:dyDescent="0.25">
      <c r="A3" s="159"/>
      <c r="B3" s="159"/>
      <c r="C3" s="159"/>
      <c r="D3" s="159"/>
      <c r="E3" s="159"/>
      <c r="F3" s="159"/>
      <c r="G3" s="159"/>
      <c r="H3" s="160"/>
      <c r="I3" s="161"/>
      <c r="J3" s="159"/>
      <c r="K3" s="161"/>
      <c r="L3" s="161"/>
      <c r="M3" s="161"/>
      <c r="N3" s="161"/>
      <c r="O3" s="161"/>
      <c r="P3" s="161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</row>
    <row r="4" spans="1:43" x14ac:dyDescent="0.25">
      <c r="A4" s="164"/>
      <c r="B4" s="165"/>
      <c r="C4" s="162"/>
      <c r="D4" s="166"/>
      <c r="E4" s="167"/>
      <c r="F4" s="163"/>
      <c r="H4" s="163"/>
      <c r="I4" s="114"/>
      <c r="J4" s="114"/>
      <c r="K4" s="114"/>
      <c r="L4" s="116" t="s">
        <v>0</v>
      </c>
      <c r="M4" s="116"/>
      <c r="N4" s="162"/>
      <c r="O4" s="163"/>
      <c r="R4" s="168"/>
      <c r="U4" s="168"/>
      <c r="X4" s="168"/>
      <c r="AA4" s="168"/>
      <c r="AD4" s="168"/>
      <c r="AG4" s="168"/>
      <c r="AJ4" s="168"/>
      <c r="AM4" s="168"/>
      <c r="AO4" s="168"/>
      <c r="AP4" s="168"/>
    </row>
    <row r="5" spans="1:43" x14ac:dyDescent="0.25">
      <c r="A5" s="169" t="s">
        <v>1</v>
      </c>
      <c r="B5" s="170" t="s">
        <v>92</v>
      </c>
      <c r="C5" s="170"/>
      <c r="D5" s="170"/>
      <c r="E5" s="170" t="s">
        <v>93</v>
      </c>
      <c r="F5" s="170"/>
      <c r="G5" s="170"/>
      <c r="H5" s="170" t="s">
        <v>94</v>
      </c>
      <c r="I5" s="170"/>
      <c r="J5" s="170"/>
      <c r="K5" s="170" t="s">
        <v>95</v>
      </c>
      <c r="L5" s="170"/>
      <c r="M5" s="170"/>
      <c r="N5" s="170" t="s">
        <v>96</v>
      </c>
      <c r="O5" s="170"/>
      <c r="P5" s="170"/>
      <c r="Q5" s="170" t="s">
        <v>97</v>
      </c>
      <c r="R5" s="170"/>
      <c r="S5" s="170"/>
      <c r="T5" s="170" t="s">
        <v>98</v>
      </c>
      <c r="U5" s="170"/>
      <c r="V5" s="170"/>
      <c r="W5" s="170" t="s">
        <v>99</v>
      </c>
      <c r="X5" s="170"/>
      <c r="Y5" s="170"/>
      <c r="Z5" s="170" t="s">
        <v>100</v>
      </c>
      <c r="AA5" s="170"/>
      <c r="AB5" s="170"/>
      <c r="AC5" s="170" t="s">
        <v>101</v>
      </c>
      <c r="AD5" s="170"/>
      <c r="AE5" s="170"/>
      <c r="AF5" s="170" t="s">
        <v>102</v>
      </c>
      <c r="AG5" s="170"/>
      <c r="AH5" s="170"/>
      <c r="AI5" s="170" t="s">
        <v>103</v>
      </c>
      <c r="AJ5" s="170"/>
      <c r="AK5" s="170"/>
      <c r="AL5" s="170" t="s">
        <v>104</v>
      </c>
      <c r="AM5" s="170"/>
      <c r="AN5" s="170"/>
      <c r="AO5" s="170" t="s">
        <v>105</v>
      </c>
      <c r="AP5" s="170"/>
      <c r="AQ5" s="170"/>
    </row>
    <row r="6" spans="1:43" s="172" customFormat="1" ht="28.5" x14ac:dyDescent="0.25">
      <c r="A6" s="171"/>
      <c r="B6" s="121" t="s">
        <v>106</v>
      </c>
      <c r="C6" s="135" t="s">
        <v>126</v>
      </c>
      <c r="D6" s="121" t="s">
        <v>107</v>
      </c>
      <c r="E6" s="121" t="s">
        <v>106</v>
      </c>
      <c r="F6" s="135" t="s">
        <v>126</v>
      </c>
      <c r="G6" s="121" t="s">
        <v>107</v>
      </c>
      <c r="H6" s="121" t="s">
        <v>106</v>
      </c>
      <c r="I6" s="135" t="s">
        <v>126</v>
      </c>
      <c r="J6" s="121" t="s">
        <v>107</v>
      </c>
      <c r="K6" s="121" t="s">
        <v>106</v>
      </c>
      <c r="L6" s="135" t="s">
        <v>126</v>
      </c>
      <c r="M6" s="121" t="s">
        <v>107</v>
      </c>
      <c r="N6" s="121" t="s">
        <v>106</v>
      </c>
      <c r="O6" s="135" t="s">
        <v>126</v>
      </c>
      <c r="P6" s="121" t="s">
        <v>107</v>
      </c>
      <c r="Q6" s="121" t="s">
        <v>106</v>
      </c>
      <c r="R6" s="135" t="s">
        <v>126</v>
      </c>
      <c r="S6" s="121" t="s">
        <v>107</v>
      </c>
      <c r="T6" s="121" t="s">
        <v>106</v>
      </c>
      <c r="U6" s="135" t="s">
        <v>126</v>
      </c>
      <c r="V6" s="121" t="s">
        <v>107</v>
      </c>
      <c r="W6" s="121" t="s">
        <v>106</v>
      </c>
      <c r="X6" s="135" t="s">
        <v>126</v>
      </c>
      <c r="Y6" s="121" t="s">
        <v>107</v>
      </c>
      <c r="Z6" s="121" t="s">
        <v>106</v>
      </c>
      <c r="AA6" s="135" t="s">
        <v>126</v>
      </c>
      <c r="AB6" s="121" t="s">
        <v>107</v>
      </c>
      <c r="AC6" s="121" t="s">
        <v>106</v>
      </c>
      <c r="AD6" s="135" t="s">
        <v>126</v>
      </c>
      <c r="AE6" s="121" t="s">
        <v>107</v>
      </c>
      <c r="AF6" s="121" t="s">
        <v>106</v>
      </c>
      <c r="AG6" s="135" t="s">
        <v>126</v>
      </c>
      <c r="AH6" s="121" t="s">
        <v>107</v>
      </c>
      <c r="AI6" s="121" t="s">
        <v>106</v>
      </c>
      <c r="AJ6" s="135" t="s">
        <v>126</v>
      </c>
      <c r="AK6" s="121" t="s">
        <v>107</v>
      </c>
      <c r="AL6" s="121" t="s">
        <v>106</v>
      </c>
      <c r="AM6" s="135" t="s">
        <v>126</v>
      </c>
      <c r="AN6" s="121" t="s">
        <v>107</v>
      </c>
      <c r="AO6" s="121" t="s">
        <v>106</v>
      </c>
      <c r="AP6" s="135" t="s">
        <v>126</v>
      </c>
      <c r="AQ6" s="121" t="s">
        <v>107</v>
      </c>
    </row>
    <row r="7" spans="1:43" s="15" customFormat="1" ht="14.25" x14ac:dyDescent="0.2">
      <c r="A7" s="177" t="s">
        <v>56</v>
      </c>
      <c r="B7" s="178">
        <f>+B8+B41</f>
        <v>20652646</v>
      </c>
      <c r="C7" s="178">
        <f>+C8+C41</f>
        <v>3969778.2603491005</v>
      </c>
      <c r="D7" s="173">
        <f>C7/B7%</f>
        <v>19.221644821438865</v>
      </c>
      <c r="E7" s="178">
        <f>+B7-H7</f>
        <v>11599704</v>
      </c>
      <c r="F7" s="178">
        <f>+C7-I7</f>
        <v>1892916.8825491006</v>
      </c>
      <c r="G7" s="173">
        <f>F7/E7%</f>
        <v>16.318665394816115</v>
      </c>
      <c r="H7" s="178">
        <f>+K7+N7+Q7+T7+W7+Z7+AC7+AF7+AI7+AL7+AO7</f>
        <v>9052942</v>
      </c>
      <c r="I7" s="178">
        <f>+L7+O7+R7+U7+X7+AA7+AD7+AG7+AJ7+AM7+AP7</f>
        <v>2076861.3777999999</v>
      </c>
      <c r="J7" s="173">
        <f>I7/H7%</f>
        <v>22.941286686692568</v>
      </c>
      <c r="K7" s="178">
        <f>+K8+K41</f>
        <v>1136292</v>
      </c>
      <c r="L7" s="178">
        <f>+L8+L41</f>
        <v>232567.08380000002</v>
      </c>
      <c r="M7" s="173">
        <f>L7/K7%</f>
        <v>20.467193626286203</v>
      </c>
      <c r="N7" s="178">
        <f>+N8+N41</f>
        <v>583430</v>
      </c>
      <c r="O7" s="178">
        <f>+O8+O41</f>
        <v>94790.434000000008</v>
      </c>
      <c r="P7" s="173">
        <f>O7/N7%</f>
        <v>16.247096309754383</v>
      </c>
      <c r="Q7" s="178">
        <f>+Q8+Q41</f>
        <v>725434</v>
      </c>
      <c r="R7" s="178">
        <f>+R8+R41</f>
        <v>174451.54100000003</v>
      </c>
      <c r="S7" s="173">
        <f>R7/Q7%</f>
        <v>24.047885955166151</v>
      </c>
      <c r="T7" s="178">
        <f>+T8+T41</f>
        <v>1121694</v>
      </c>
      <c r="U7" s="178">
        <f>+U8+U41</f>
        <v>253655.31600000002</v>
      </c>
      <c r="V7" s="173">
        <f>U7/T7%</f>
        <v>22.613593011997924</v>
      </c>
      <c r="W7" s="178">
        <f>+W8+W41</f>
        <v>855727</v>
      </c>
      <c r="X7" s="178">
        <f>+X8+X41</f>
        <v>201001.20500000002</v>
      </c>
      <c r="Y7" s="173">
        <f>X7/W7%</f>
        <v>23.488940398047507</v>
      </c>
      <c r="Z7" s="178">
        <f>+Z8+Z41</f>
        <v>815385</v>
      </c>
      <c r="AA7" s="178">
        <f>+AA8+AA41</f>
        <v>189451.49</v>
      </c>
      <c r="AB7" s="173">
        <f>AA7/Z7%</f>
        <v>23.234605738393519</v>
      </c>
      <c r="AC7" s="178">
        <f>+AC8+AC41</f>
        <v>746675</v>
      </c>
      <c r="AD7" s="178">
        <f>+AD8+AD41</f>
        <v>174379.23699999999</v>
      </c>
      <c r="AE7" s="173">
        <f>AD7/AC7%</f>
        <v>23.354101449760606</v>
      </c>
      <c r="AF7" s="178">
        <f>+AF8+AF41</f>
        <v>823105</v>
      </c>
      <c r="AG7" s="178">
        <f>+AG8+AG41</f>
        <v>197839.174</v>
      </c>
      <c r="AH7" s="173">
        <f>AG7/AF7%</f>
        <v>24.035715248965808</v>
      </c>
      <c r="AI7" s="178">
        <f>+AI8+AI41</f>
        <v>778103</v>
      </c>
      <c r="AJ7" s="178">
        <f>+AJ8+AJ41</f>
        <v>202052.95399999997</v>
      </c>
      <c r="AK7" s="173">
        <f>AJ7/AI7%</f>
        <v>25.967378868864401</v>
      </c>
      <c r="AL7" s="178">
        <f>+AL8+AL41</f>
        <v>717966</v>
      </c>
      <c r="AM7" s="178">
        <f>+AM8+AM41</f>
        <v>175804.11700000003</v>
      </c>
      <c r="AN7" s="173">
        <f>AM7/AL7%</f>
        <v>24.486412587782713</v>
      </c>
      <c r="AO7" s="178">
        <f>+AO8+AO41</f>
        <v>749131</v>
      </c>
      <c r="AP7" s="178">
        <f>+AP8+AP41</f>
        <v>180868.826</v>
      </c>
      <c r="AQ7" s="173">
        <f>AP7/AO7%</f>
        <v>24.14381810390973</v>
      </c>
    </row>
    <row r="8" spans="1:43" s="15" customFormat="1" ht="14.25" x14ac:dyDescent="0.2">
      <c r="A8" s="179" t="s">
        <v>38</v>
      </c>
      <c r="B8" s="180">
        <f>+B9+B14+B37+B38+B39+B40</f>
        <v>16643652</v>
      </c>
      <c r="C8" s="180">
        <f t="shared" ref="C8" si="0">+C9+C14+C37+C38+C39+C40</f>
        <v>3262790.5510000004</v>
      </c>
      <c r="D8" s="14">
        <f>C8/B8%</f>
        <v>19.603813820428357</v>
      </c>
      <c r="E8" s="180">
        <f>+B8-H8</f>
        <v>7591814</v>
      </c>
      <c r="F8" s="180">
        <f>+C8-I8</f>
        <v>1258982.8142000006</v>
      </c>
      <c r="G8" s="14">
        <f>F8/E8%</f>
        <v>16.583425439558987</v>
      </c>
      <c r="H8" s="180">
        <f>+K8+N8+Q8+T8+W8+Z8+AC8+AF8+AI8+AL8+AO8</f>
        <v>9051838</v>
      </c>
      <c r="I8" s="180">
        <f>+L8+O8+R8+U8+X8+AA8+AD8+AG8+AJ8+AM8+AP8</f>
        <v>2003807.7367999998</v>
      </c>
      <c r="J8" s="14">
        <f>I8/H8%</f>
        <v>22.137026058133163</v>
      </c>
      <c r="K8" s="180">
        <f>+K9+K14+K37+K38+K39+K40</f>
        <v>1136172</v>
      </c>
      <c r="L8" s="180">
        <f t="shared" ref="L8" si="1">+L9+L14+L37+L38+L39+L40</f>
        <v>224984.38180000003</v>
      </c>
      <c r="M8" s="14">
        <f>L8/K8%</f>
        <v>19.801965001777905</v>
      </c>
      <c r="N8" s="180">
        <f>+N9+N14+N37+N38+N39+N40</f>
        <v>583310</v>
      </c>
      <c r="O8" s="180">
        <f t="shared" ref="O8" si="2">+O9+O14+O37+O38+O39+O40</f>
        <v>94428.51400000001</v>
      </c>
      <c r="P8" s="14">
        <f>O8/N8%</f>
        <v>16.188392792854572</v>
      </c>
      <c r="Q8" s="180">
        <f>+Q9+Q14+Q37+Q38+Q39+Q40</f>
        <v>725329</v>
      </c>
      <c r="R8" s="180">
        <f t="shared" ref="R8" si="3">+R9+R14+R37+R38+R39+R40</f>
        <v>174404.00400000002</v>
      </c>
      <c r="S8" s="14">
        <f>R8/Q8%</f>
        <v>24.044813319197221</v>
      </c>
      <c r="T8" s="180">
        <f>+T9+T14+T37+T38+T39+T40</f>
        <v>1121574</v>
      </c>
      <c r="U8" s="180">
        <f t="shared" ref="U8" si="4">+U9+U14+U37+U38+U39+U40</f>
        <v>251559.49900000001</v>
      </c>
      <c r="V8" s="14">
        <f>U8/T8%</f>
        <v>22.429148589393122</v>
      </c>
      <c r="W8" s="180">
        <f>+W9+W14+W37+W38+W39+W40</f>
        <v>855645</v>
      </c>
      <c r="X8" s="180">
        <f t="shared" ref="X8" si="5">+X9+X14+X37+X38+X39+X40</f>
        <v>194571.32600000003</v>
      </c>
      <c r="Y8" s="14">
        <f>X8/W8%</f>
        <v>22.739725704001078</v>
      </c>
      <c r="Z8" s="180">
        <f>+Z9+Z14+Z37+Z38+Z39+Z40</f>
        <v>815265</v>
      </c>
      <c r="AA8" s="180">
        <f t="shared" ref="AA8" si="6">+AA9+AA14+AA37+AA38+AA39+AA40</f>
        <v>186039.49899999998</v>
      </c>
      <c r="AB8" s="14">
        <f>AA8/Z8%</f>
        <v>22.81951255113368</v>
      </c>
      <c r="AC8" s="180">
        <f>+AC9+AC14+AC37+AC38+AC39+AC40</f>
        <v>746555</v>
      </c>
      <c r="AD8" s="180">
        <f t="shared" ref="AD8" si="7">+AD9+AD14+AD37+AD38+AD39+AD40</f>
        <v>172143.56699999998</v>
      </c>
      <c r="AE8" s="14">
        <f>AD8/AC8%</f>
        <v>23.058390473575287</v>
      </c>
      <c r="AF8" s="180">
        <f>+AF9+AF14+AF37+AF38+AF39+AF40</f>
        <v>823023</v>
      </c>
      <c r="AG8" s="180">
        <f t="shared" ref="AG8" si="8">+AG9+AG14+AG37+AG38+AG39+AG40</f>
        <v>195888.11499999999</v>
      </c>
      <c r="AH8" s="14">
        <f>AG8/AF8%</f>
        <v>23.801049909905313</v>
      </c>
      <c r="AI8" s="180">
        <f>+AI9+AI14+AI37+AI38+AI39+AI40</f>
        <v>778033</v>
      </c>
      <c r="AJ8" s="180">
        <f t="shared" ref="AJ8" si="9">+AJ9+AJ14+AJ37+AJ38+AJ39+AJ40</f>
        <v>167735.99499999997</v>
      </c>
      <c r="AK8" s="14">
        <f>AJ8/AI8%</f>
        <v>21.558982074025135</v>
      </c>
      <c r="AL8" s="180">
        <f>+AL9+AL14+AL37+AL38+AL39+AL40</f>
        <v>717906</v>
      </c>
      <c r="AM8" s="180">
        <f t="shared" ref="AM8" si="10">+AM9+AM14+AM37+AM38+AM39+AM40</f>
        <v>172070.73000000004</v>
      </c>
      <c r="AN8" s="14">
        <f>AM8/AL8%</f>
        <v>23.968420656743366</v>
      </c>
      <c r="AO8" s="180">
        <f>+AO9+AO14+AO37+AO38+AO39+AO40</f>
        <v>749026</v>
      </c>
      <c r="AP8" s="180">
        <f t="shared" ref="AP8" si="11">+AP9+AP14+AP37+AP38+AP39+AP40</f>
        <v>169982.106</v>
      </c>
      <c r="AQ8" s="14">
        <f>AP8/AO8%</f>
        <v>22.69375241980919</v>
      </c>
    </row>
    <row r="9" spans="1:43" s="15" customFormat="1" ht="14.25" x14ac:dyDescent="0.2">
      <c r="A9" s="181" t="s">
        <v>15</v>
      </c>
      <c r="B9" s="3">
        <f>+B10+B11+B12+B13</f>
        <v>3973874</v>
      </c>
      <c r="C9" s="3">
        <v>779271.5</v>
      </c>
      <c r="D9" s="14">
        <f>C9/B9%</f>
        <v>19.60986936173618</v>
      </c>
      <c r="E9" s="3">
        <f>+B9-H9</f>
        <v>3191134</v>
      </c>
      <c r="F9" s="3">
        <f>+C9-I9</f>
        <v>646306.49619999994</v>
      </c>
      <c r="G9" s="14">
        <f>F9/E9%</f>
        <v>20.253192006352599</v>
      </c>
      <c r="H9" s="3">
        <f>+K9+N9+Q9+T9+W9+Z9+AC9+AF9+AI9+AL9+AO9</f>
        <v>782740</v>
      </c>
      <c r="I9" s="3">
        <f>+L9+O9+R9+U9+X9+AA9+AD9+AG9+AJ9+AM9+AP9</f>
        <v>132965.00380000001</v>
      </c>
      <c r="J9" s="14">
        <f>I9/H9%</f>
        <v>16.987122646089379</v>
      </c>
      <c r="K9" s="3">
        <f>+K10+K11+K12+K13</f>
        <v>237509</v>
      </c>
      <c r="L9" s="3">
        <f>43597.2438+27007.967-7582.702-10000-3000</f>
        <v>50022.508800000003</v>
      </c>
      <c r="M9" s="14">
        <f>L9/K9%</f>
        <v>21.06131085558863</v>
      </c>
      <c r="N9" s="3">
        <f>+N10+N11+N12+N13</f>
        <v>65214</v>
      </c>
      <c r="O9" s="3">
        <f>2780.554+2066.058</f>
        <v>4846.6120000000001</v>
      </c>
      <c r="P9" s="14">
        <f>O9/N9%</f>
        <v>7.4318581899592111</v>
      </c>
      <c r="Q9" s="3">
        <f>+Q10+Q11+Q12+Q13</f>
        <v>67482</v>
      </c>
      <c r="R9" s="3">
        <f>11301.953+2649.362-527.93</f>
        <v>13423.384999999998</v>
      </c>
      <c r="S9" s="14">
        <f>R9/Q9%</f>
        <v>19.891800776503359</v>
      </c>
      <c r="T9" s="3">
        <f>+T10+T11+T12+T13</f>
        <v>62424</v>
      </c>
      <c r="U9" s="3">
        <f>4347.84+11892.408-2093.087-3000</f>
        <v>11147.161</v>
      </c>
      <c r="V9" s="14">
        <f>U9/T9%</f>
        <v>17.857171921056004</v>
      </c>
      <c r="W9" s="3">
        <f>+W10+W11+W12+W13</f>
        <v>64729</v>
      </c>
      <c r="X9" s="3">
        <f>4614.077+4916.056-2000</f>
        <v>7530.1329999999998</v>
      </c>
      <c r="Y9" s="14">
        <f>X9/W9%</f>
        <v>11.633322004047645</v>
      </c>
      <c r="Z9" s="3">
        <f>+Z10+Z11+Z12+Z13</f>
        <v>43703</v>
      </c>
      <c r="AA9" s="3">
        <f>12265.024+203.099</f>
        <v>12468.123</v>
      </c>
      <c r="AB9" s="14">
        <f>AA9/Z9%</f>
        <v>28.529215385671463</v>
      </c>
      <c r="AC9" s="3">
        <f>+AC10+AC11+AC12+AC13</f>
        <v>39926</v>
      </c>
      <c r="AD9" s="3">
        <f>3668.37+6105.281-1094.491-2000</f>
        <v>6679.16</v>
      </c>
      <c r="AE9" s="14">
        <f>AD9/AC9%</f>
        <v>16.728848369483543</v>
      </c>
      <c r="AF9" s="3">
        <f>+AF10+AF11+AF12+AF13</f>
        <v>56730</v>
      </c>
      <c r="AG9" s="3">
        <f>2348.78+1256.295</f>
        <v>3605.0750000000003</v>
      </c>
      <c r="AH9" s="14">
        <f>AG9/AF9%</f>
        <v>6.3547946412832728</v>
      </c>
      <c r="AI9" s="3">
        <f>+AI10+AI11+AI12+AI13</f>
        <v>52820</v>
      </c>
      <c r="AJ9" s="3">
        <f>8011.803+6915.045-3000</f>
        <v>11926.848</v>
      </c>
      <c r="AK9" s="14">
        <f>AJ9/AI9%</f>
        <v>22.580174176448313</v>
      </c>
      <c r="AL9" s="3">
        <f>+AL10+AL11+AL12+AL13</f>
        <v>47391</v>
      </c>
      <c r="AM9" s="3">
        <f>1539.547+12898.072-3119-4000</f>
        <v>7318.6190000000006</v>
      </c>
      <c r="AN9" s="14">
        <f>AM9/AL9%</f>
        <v>15.443056698529258</v>
      </c>
      <c r="AO9" s="3">
        <f>+AO10+AO11+AO12+AO13</f>
        <v>44812</v>
      </c>
      <c r="AP9" s="3">
        <f>500+4497.379-1000</f>
        <v>3997.3789999999999</v>
      </c>
      <c r="AQ9" s="14">
        <f>AP9/AO9%</f>
        <v>8.9203316076051049</v>
      </c>
    </row>
    <row r="10" spans="1:43" hidden="1" x14ac:dyDescent="0.25">
      <c r="A10" s="182" t="s">
        <v>39</v>
      </c>
      <c r="B10" s="183">
        <v>1381674</v>
      </c>
      <c r="C10" s="183"/>
      <c r="D10" s="174">
        <f>C10/B10%</f>
        <v>0</v>
      </c>
      <c r="E10" s="183">
        <f>+B10-H10</f>
        <v>958934</v>
      </c>
      <c r="F10" s="183">
        <f>+C10-I10</f>
        <v>0</v>
      </c>
      <c r="G10" s="174">
        <f>F10/E10%</f>
        <v>0</v>
      </c>
      <c r="H10" s="183">
        <f>+K10+N10+Q10+T10+W10+Z10+AC10+AF10+AI10+AL10+AO10</f>
        <v>422740</v>
      </c>
      <c r="I10" s="183">
        <f>+L10+O10+R10+U10+X10+AA10+AD10+AG10+AJ10+AM10+AP10</f>
        <v>0</v>
      </c>
      <c r="J10" s="174"/>
      <c r="K10" s="183">
        <v>87509</v>
      </c>
      <c r="L10" s="183"/>
      <c r="M10" s="174"/>
      <c r="N10" s="183">
        <v>35214</v>
      </c>
      <c r="O10" s="183"/>
      <c r="P10" s="174"/>
      <c r="Q10" s="183">
        <v>32482</v>
      </c>
      <c r="R10" s="183"/>
      <c r="S10" s="174"/>
      <c r="T10" s="183">
        <v>32424</v>
      </c>
      <c r="U10" s="183"/>
      <c r="V10" s="174"/>
      <c r="W10" s="183">
        <v>34729</v>
      </c>
      <c r="X10" s="183"/>
      <c r="Y10" s="174"/>
      <c r="Z10" s="183">
        <v>33703</v>
      </c>
      <c r="AA10" s="183"/>
      <c r="AB10" s="174"/>
      <c r="AC10" s="183">
        <v>29926</v>
      </c>
      <c r="AD10" s="183"/>
      <c r="AE10" s="174"/>
      <c r="AF10" s="183">
        <v>36730</v>
      </c>
      <c r="AG10" s="183"/>
      <c r="AH10" s="174"/>
      <c r="AI10" s="183">
        <v>37820</v>
      </c>
      <c r="AJ10" s="183"/>
      <c r="AK10" s="174"/>
      <c r="AL10" s="183">
        <v>32391</v>
      </c>
      <c r="AM10" s="183"/>
      <c r="AN10" s="174"/>
      <c r="AO10" s="183">
        <v>29812</v>
      </c>
      <c r="AP10" s="183"/>
      <c r="AQ10" s="174"/>
    </row>
    <row r="11" spans="1:43" hidden="1" x14ac:dyDescent="0.25">
      <c r="A11" s="182" t="s">
        <v>40</v>
      </c>
      <c r="B11" s="183">
        <v>620000</v>
      </c>
      <c r="C11" s="183"/>
      <c r="D11" s="174">
        <f>C11/B11%</f>
        <v>0</v>
      </c>
      <c r="E11" s="183">
        <f>+B11-H11</f>
        <v>260000</v>
      </c>
      <c r="F11" s="183">
        <f>+C11-I11</f>
        <v>0</v>
      </c>
      <c r="G11" s="174">
        <f>F11/E11%</f>
        <v>0</v>
      </c>
      <c r="H11" s="183">
        <f>+K11+N11+Q11+T11+W11+Z11+AC11+AF11+AI11+AL11+AO11</f>
        <v>360000</v>
      </c>
      <c r="I11" s="183">
        <f>+L11+O11+R11+U11+X11+AA11+AD11+AG11+AJ11+AM11+AP11</f>
        <v>0</v>
      </c>
      <c r="J11" s="174"/>
      <c r="K11" s="183">
        <v>150000</v>
      </c>
      <c r="L11" s="183"/>
      <c r="M11" s="174"/>
      <c r="N11" s="183">
        <v>30000</v>
      </c>
      <c r="O11" s="183"/>
      <c r="P11" s="174"/>
      <c r="Q11" s="183">
        <v>35000</v>
      </c>
      <c r="R11" s="183"/>
      <c r="S11" s="174"/>
      <c r="T11" s="183">
        <v>30000</v>
      </c>
      <c r="U11" s="183"/>
      <c r="V11" s="174"/>
      <c r="W11" s="183">
        <v>30000</v>
      </c>
      <c r="X11" s="183"/>
      <c r="Y11" s="174"/>
      <c r="Z11" s="183">
        <v>10000</v>
      </c>
      <c r="AA11" s="183"/>
      <c r="AB11" s="174"/>
      <c r="AC11" s="183">
        <v>10000</v>
      </c>
      <c r="AD11" s="183"/>
      <c r="AE11" s="174"/>
      <c r="AF11" s="183">
        <v>20000</v>
      </c>
      <c r="AG11" s="183"/>
      <c r="AH11" s="174"/>
      <c r="AI11" s="183">
        <v>15000</v>
      </c>
      <c r="AJ11" s="183"/>
      <c r="AK11" s="174"/>
      <c r="AL11" s="183">
        <v>15000</v>
      </c>
      <c r="AM11" s="183"/>
      <c r="AN11" s="174"/>
      <c r="AO11" s="183">
        <v>15000</v>
      </c>
      <c r="AP11" s="183"/>
      <c r="AQ11" s="174"/>
    </row>
    <row r="12" spans="1:43" hidden="1" x14ac:dyDescent="0.25">
      <c r="A12" s="182" t="s">
        <v>41</v>
      </c>
      <c r="B12" s="183">
        <v>1890000</v>
      </c>
      <c r="C12" s="183"/>
      <c r="D12" s="174">
        <f>C12/B12%</f>
        <v>0</v>
      </c>
      <c r="E12" s="183">
        <f>+B12-H12</f>
        <v>1890000</v>
      </c>
      <c r="F12" s="183">
        <f>+C12-I12</f>
        <v>0</v>
      </c>
      <c r="G12" s="174">
        <f>F12/E12%</f>
        <v>0</v>
      </c>
      <c r="H12" s="183">
        <f>+K12+N12+Q12+T12+W12+Z12+AC12+AF12+AI12+AL12+AO12</f>
        <v>0</v>
      </c>
      <c r="I12" s="183">
        <f>+L12+O12+R12+U12+X12+AA12+AD12+AG12+AJ12+AM12+AP12</f>
        <v>0</v>
      </c>
      <c r="J12" s="174"/>
      <c r="K12" s="183">
        <v>0</v>
      </c>
      <c r="L12" s="183"/>
      <c r="M12" s="174"/>
      <c r="N12" s="183">
        <v>0</v>
      </c>
      <c r="O12" s="183"/>
      <c r="P12" s="174"/>
      <c r="Q12" s="183">
        <v>0</v>
      </c>
      <c r="R12" s="183"/>
      <c r="S12" s="174"/>
      <c r="T12" s="183">
        <v>0</v>
      </c>
      <c r="U12" s="183"/>
      <c r="V12" s="174"/>
      <c r="W12" s="183">
        <v>0</v>
      </c>
      <c r="X12" s="183"/>
      <c r="Y12" s="174"/>
      <c r="Z12" s="183">
        <v>0</v>
      </c>
      <c r="AA12" s="183"/>
      <c r="AB12" s="174"/>
      <c r="AC12" s="183">
        <v>0</v>
      </c>
      <c r="AD12" s="183"/>
      <c r="AE12" s="174"/>
      <c r="AF12" s="183">
        <v>0</v>
      </c>
      <c r="AG12" s="183"/>
      <c r="AH12" s="174"/>
      <c r="AI12" s="183">
        <v>0</v>
      </c>
      <c r="AJ12" s="183"/>
      <c r="AK12" s="174"/>
      <c r="AL12" s="183">
        <v>0</v>
      </c>
      <c r="AM12" s="183"/>
      <c r="AN12" s="174"/>
      <c r="AO12" s="183">
        <v>0</v>
      </c>
      <c r="AP12" s="183"/>
      <c r="AQ12" s="174"/>
    </row>
    <row r="13" spans="1:43" s="15" customFormat="1" hidden="1" x14ac:dyDescent="0.25">
      <c r="A13" s="182" t="s">
        <v>42</v>
      </c>
      <c r="B13" s="183">
        <v>82200</v>
      </c>
      <c r="C13" s="183"/>
      <c r="D13" s="14">
        <f>C13/B13%</f>
        <v>0</v>
      </c>
      <c r="E13" s="183">
        <f>+B13-H13</f>
        <v>82200</v>
      </c>
      <c r="F13" s="183">
        <f>+C13-I13</f>
        <v>0</v>
      </c>
      <c r="G13" s="14">
        <f>F13/E13%</f>
        <v>0</v>
      </c>
      <c r="H13" s="183">
        <f>+K13+N13+Q13+T13+W13+Z13+AC13+AF13+AI13+AL13+AO13</f>
        <v>0</v>
      </c>
      <c r="I13" s="183">
        <f>+L13+O13+R13+U13+X13+AA13+AD13+AG13+AJ13+AM13+AP13</f>
        <v>0</v>
      </c>
      <c r="J13" s="14" t="e">
        <f>I13/H13%</f>
        <v>#DIV/0!</v>
      </c>
      <c r="K13" s="183">
        <v>0</v>
      </c>
      <c r="L13" s="183"/>
      <c r="M13" s="14" t="e">
        <f>L13/K13%</f>
        <v>#DIV/0!</v>
      </c>
      <c r="N13" s="183">
        <v>0</v>
      </c>
      <c r="O13" s="183"/>
      <c r="P13" s="14" t="e">
        <f>O13/N13%</f>
        <v>#DIV/0!</v>
      </c>
      <c r="Q13" s="183">
        <v>0</v>
      </c>
      <c r="R13" s="183"/>
      <c r="S13" s="14" t="e">
        <f>R13/Q13%</f>
        <v>#DIV/0!</v>
      </c>
      <c r="T13" s="183">
        <v>0</v>
      </c>
      <c r="U13" s="183"/>
      <c r="V13" s="14" t="e">
        <f>U13/T13%</f>
        <v>#DIV/0!</v>
      </c>
      <c r="W13" s="183">
        <v>0</v>
      </c>
      <c r="X13" s="183"/>
      <c r="Y13" s="14" t="e">
        <f>X13/W13%</f>
        <v>#DIV/0!</v>
      </c>
      <c r="Z13" s="183">
        <v>0</v>
      </c>
      <c r="AA13" s="183"/>
      <c r="AB13" s="14" t="e">
        <f>AA13/Z13%</f>
        <v>#DIV/0!</v>
      </c>
      <c r="AC13" s="183">
        <v>0</v>
      </c>
      <c r="AD13" s="183"/>
      <c r="AE13" s="14" t="e">
        <f>AD13/AC13%</f>
        <v>#DIV/0!</v>
      </c>
      <c r="AF13" s="183">
        <v>0</v>
      </c>
      <c r="AG13" s="183"/>
      <c r="AH13" s="14" t="e">
        <f>AG13/AF13%</f>
        <v>#DIV/0!</v>
      </c>
      <c r="AI13" s="183">
        <v>0</v>
      </c>
      <c r="AJ13" s="183"/>
      <c r="AK13" s="14" t="e">
        <f>AJ13/AI13%</f>
        <v>#DIV/0!</v>
      </c>
      <c r="AL13" s="183">
        <v>0</v>
      </c>
      <c r="AM13" s="183"/>
      <c r="AN13" s="14" t="e">
        <f>AM13/AL13%</f>
        <v>#DIV/0!</v>
      </c>
      <c r="AO13" s="183">
        <v>0</v>
      </c>
      <c r="AP13" s="183"/>
      <c r="AQ13" s="14" t="e">
        <f>AP13/AO13%</f>
        <v>#DIV/0!</v>
      </c>
    </row>
    <row r="14" spans="1:43" s="15" customFormat="1" ht="14.25" x14ac:dyDescent="0.2">
      <c r="A14" s="184" t="s">
        <v>16</v>
      </c>
      <c r="B14" s="3">
        <f>+B15+B19+B28+B33+B34+B35+B36</f>
        <v>11715223</v>
      </c>
      <c r="C14" s="3">
        <f>+C15+C19+C28+C33+C34+C35+C36</f>
        <v>2482844.9710000004</v>
      </c>
      <c r="D14" s="14">
        <f>C14/B14%</f>
        <v>21.193322320881133</v>
      </c>
      <c r="E14" s="3">
        <f>+B14-H14</f>
        <v>3779090</v>
      </c>
      <c r="F14" s="3">
        <f>+C14-I14</f>
        <v>612002.23800000059</v>
      </c>
      <c r="G14" s="14">
        <f>F14/E14%</f>
        <v>16.19443405687614</v>
      </c>
      <c r="H14" s="3">
        <f>+K14+N14+Q14+T14+W14+Z14+AC14+AF14+AI14+AL14+AO14</f>
        <v>7936133</v>
      </c>
      <c r="I14" s="3">
        <f>+L14+O14+R14+U14+X14+AA14+AD14+AG14+AJ14+AM14+AP14</f>
        <v>1870842.7329999998</v>
      </c>
      <c r="J14" s="14">
        <f>I14/H14%</f>
        <v>23.573732106052152</v>
      </c>
      <c r="K14" s="3">
        <f>+K15+K19+K28+K33+K34+K35+K36</f>
        <v>775898</v>
      </c>
      <c r="L14" s="3">
        <f>+L15+L19+L28+L33+L34+L35+L36</f>
        <v>174961.87300000002</v>
      </c>
      <c r="M14" s="14">
        <f>L14/K14%</f>
        <v>22.549597111991527</v>
      </c>
      <c r="N14" s="3">
        <f>+N15+N19+N28+N33+N34+N35+N36</f>
        <v>451413</v>
      </c>
      <c r="O14" s="3">
        <f>+O15+O19+O28+O33+O34+O35+O36</f>
        <v>89581.902000000016</v>
      </c>
      <c r="P14" s="14">
        <f>O14/N14%</f>
        <v>19.844776734387359</v>
      </c>
      <c r="Q14" s="3">
        <f>+Q15+Q19+Q28+Q33+Q34+Q35+Q36</f>
        <v>644520</v>
      </c>
      <c r="R14" s="3">
        <f>+R15+R19+R28+R33+R34+R35+R36</f>
        <v>160980.61900000001</v>
      </c>
      <c r="S14" s="14">
        <f>R14/Q14%</f>
        <v>24.976822906969531</v>
      </c>
      <c r="T14" s="3">
        <f>+T15+T19+T28+T33+T34+T35+T36</f>
        <v>1038866</v>
      </c>
      <c r="U14" s="3">
        <f>+U15+U19+U28+U33+U34+U35+U36</f>
        <v>240412.33800000002</v>
      </c>
      <c r="V14" s="14">
        <f>U14/T14%</f>
        <v>23.141804429060151</v>
      </c>
      <c r="W14" s="3">
        <f>+W15+W19+W28+W33+W34+W35+W36</f>
        <v>775263</v>
      </c>
      <c r="X14" s="3">
        <f>+X15+X19+X28+X33+X34+X35+X36</f>
        <v>187041.19300000003</v>
      </c>
      <c r="Y14" s="14">
        <f>X14/W14%</f>
        <v>24.126160154682996</v>
      </c>
      <c r="Z14" s="3">
        <f>+Z15+Z19+Z28+Z33+Z34+Z35+Z36</f>
        <v>756744</v>
      </c>
      <c r="AA14" s="3">
        <f>+AA15+AA19+AA28+AA33+AA34+AA35+AA36</f>
        <v>173571.37599999999</v>
      </c>
      <c r="AB14" s="14">
        <f>AA14/Z14%</f>
        <v>22.936604188470607</v>
      </c>
      <c r="AC14" s="3">
        <f>+AC15+AC19+AC28+AC33+AC34+AC35+AC36</f>
        <v>692992</v>
      </c>
      <c r="AD14" s="3">
        <f>+AD15+AD19+AD28+AD33+AD34+AD35+AD36</f>
        <v>165464.40699999998</v>
      </c>
      <c r="AE14" s="14">
        <f>AD14/AC14%</f>
        <v>23.876813440847798</v>
      </c>
      <c r="AF14" s="3">
        <f>+AF15+AF19+AF28+AF33+AF34+AF35+AF36</f>
        <v>751332</v>
      </c>
      <c r="AG14" s="3">
        <f>+AG15+AG19+AG28+AG33+AG34+AG35+AG36</f>
        <v>192283.03999999998</v>
      </c>
      <c r="AH14" s="14">
        <f>AG14/AF14%</f>
        <v>25.592286765371366</v>
      </c>
      <c r="AI14" s="3">
        <f>+AI15+AI19+AI28+AI33+AI34+AI35+AI36</f>
        <v>711091</v>
      </c>
      <c r="AJ14" s="3">
        <f>+AJ15+AJ19+AJ28+AJ33+AJ34+AJ35+AJ36</f>
        <v>155809.14699999997</v>
      </c>
      <c r="AK14" s="14">
        <f>AJ14/AI14%</f>
        <v>21.911280975290079</v>
      </c>
      <c r="AL14" s="3">
        <f>+AL15+AL19+AL28+AL33+AL34+AL35+AL36</f>
        <v>657443</v>
      </c>
      <c r="AM14" s="3">
        <f>+AM15+AM19+AM28+AM33+AM34+AM35+AM36</f>
        <v>164752.11100000003</v>
      </c>
      <c r="AN14" s="14">
        <f>AM14/AL14%</f>
        <v>25.059527746131607</v>
      </c>
      <c r="AO14" s="3">
        <f>+AO15+AO19+AO28+AO33+AO34+AO35+AO36</f>
        <v>680571</v>
      </c>
      <c r="AP14" s="3">
        <f>+AP15+AP19+AP28+AP33+AP34+AP35+AP36</f>
        <v>165984.72700000001</v>
      </c>
      <c r="AQ14" s="14">
        <f>AP14/AO14%</f>
        <v>24.389039056909567</v>
      </c>
    </row>
    <row r="15" spans="1:43" x14ac:dyDescent="0.25">
      <c r="A15" s="185" t="s">
        <v>27</v>
      </c>
      <c r="B15" s="3">
        <f>+B16+B17+B18</f>
        <v>1248445</v>
      </c>
      <c r="C15" s="3">
        <f>+C16+C17+C18</f>
        <v>152957.08499999999</v>
      </c>
      <c r="D15" s="174">
        <f>C15/B15%</f>
        <v>12.251808049213221</v>
      </c>
      <c r="E15" s="3">
        <f>+B15-H15</f>
        <v>591306</v>
      </c>
      <c r="F15" s="3">
        <f>+C15-I15</f>
        <v>79220.524999999994</v>
      </c>
      <c r="G15" s="174">
        <f>F15/E15%</f>
        <v>13.397551352430042</v>
      </c>
      <c r="H15" s="3">
        <f>+K15+N15+Q15+T15+W15+Z15+AC15+AF15+AI15+AL15+AO15</f>
        <v>657139</v>
      </c>
      <c r="I15" s="3">
        <f>+L15+O15+R15+U15+X15+AA15+AD15+AG15+AJ15+AM15+AP15</f>
        <v>73736.56</v>
      </c>
      <c r="J15" s="174">
        <f>I15/H15%</f>
        <v>11.220846731056898</v>
      </c>
      <c r="K15" s="3">
        <f>+K16+K17+K18</f>
        <v>51744</v>
      </c>
      <c r="L15" s="3">
        <f>+L16+L17+L18</f>
        <v>6174.14</v>
      </c>
      <c r="M15" s="174">
        <f>L15/K15%</f>
        <v>11.932088744588745</v>
      </c>
      <c r="N15" s="3">
        <f>+N16+N17+N18</f>
        <v>27833</v>
      </c>
      <c r="O15" s="3">
        <f>+O16+O17+O18</f>
        <v>689.62400000000002</v>
      </c>
      <c r="P15" s="174">
        <f>O15/N15%</f>
        <v>2.4777206912657639</v>
      </c>
      <c r="Q15" s="3">
        <f>+Q16+Q17+Q18</f>
        <v>49731</v>
      </c>
      <c r="R15" s="3">
        <f>+R16+R17+R18</f>
        <v>10170.14</v>
      </c>
      <c r="S15" s="174">
        <f>R15/Q15%</f>
        <v>20.45030262813939</v>
      </c>
      <c r="T15" s="3">
        <f>+T16+T17+T18</f>
        <v>77166</v>
      </c>
      <c r="U15" s="3">
        <f>+U16+U17+U18</f>
        <v>3994.4780000000001</v>
      </c>
      <c r="V15" s="174">
        <f>U15/T15%</f>
        <v>5.1764740948085946</v>
      </c>
      <c r="W15" s="3">
        <f>+W16+W17+W18</f>
        <v>61788</v>
      </c>
      <c r="X15" s="3">
        <f>+X16+X17+X18</f>
        <v>11390.607</v>
      </c>
      <c r="Y15" s="174">
        <f>X15/W15%</f>
        <v>18.434982520877842</v>
      </c>
      <c r="Z15" s="3">
        <f>+Z16+Z17+Z18</f>
        <v>60928</v>
      </c>
      <c r="AA15" s="3">
        <f>+AA16+AA17+AA18</f>
        <v>8735.7980000000007</v>
      </c>
      <c r="AB15" s="174">
        <f>AA15/Z15%</f>
        <v>14.337903755252103</v>
      </c>
      <c r="AC15" s="3">
        <f>+AC16+AC17+AC18</f>
        <v>67462</v>
      </c>
      <c r="AD15" s="3">
        <f>+AD16+AD17+AD18</f>
        <v>9560.7139999999999</v>
      </c>
      <c r="AE15" s="174">
        <f>AD15/AC15%</f>
        <v>14.171999051317778</v>
      </c>
      <c r="AF15" s="3">
        <f>+AF16+AF17+AF18</f>
        <v>80724</v>
      </c>
      <c r="AG15" s="3">
        <f>+AG16+AG17+AG18</f>
        <v>7589.8810000000003</v>
      </c>
      <c r="AH15" s="174">
        <f>AG15/AF15%</f>
        <v>9.4022607898518409</v>
      </c>
      <c r="AI15" s="3">
        <f>+AI16+AI17+AI18</f>
        <v>74629</v>
      </c>
      <c r="AJ15" s="3">
        <f>+AJ16+AJ17+AJ18</f>
        <v>2244.741</v>
      </c>
      <c r="AK15" s="174">
        <f>AJ15/AI15%</f>
        <v>3.0078669150062312</v>
      </c>
      <c r="AL15" s="3">
        <f>+AL16+AL17+AL18</f>
        <v>53314</v>
      </c>
      <c r="AM15" s="3">
        <f>+AM16+AM17+AM18</f>
        <v>2446.047</v>
      </c>
      <c r="AN15" s="174">
        <f>AM15/AL15%</f>
        <v>4.5880012754623554</v>
      </c>
      <c r="AO15" s="3">
        <f>+AO16+AO17+AO18</f>
        <v>51820</v>
      </c>
      <c r="AP15" s="3">
        <f>+AP16+AP17+AP18</f>
        <v>10740.39</v>
      </c>
      <c r="AQ15" s="174">
        <f>AP15/AO15%</f>
        <v>20.72634118101119</v>
      </c>
    </row>
    <row r="16" spans="1:43" x14ac:dyDescent="0.25">
      <c r="A16" s="186" t="s">
        <v>17</v>
      </c>
      <c r="B16" s="183">
        <f>120495+13491+230059</f>
        <v>364045</v>
      </c>
      <c r="C16" s="183">
        <f>87504.539-3103.4-5811.11</f>
        <v>78590.02900000001</v>
      </c>
      <c r="D16" s="174">
        <f>C16/B16%</f>
        <v>21.587998461728635</v>
      </c>
      <c r="E16" s="183">
        <f>+B16-H16</f>
        <v>260415</v>
      </c>
      <c r="F16" s="183">
        <f>+C16-I16</f>
        <v>50025.68710000001</v>
      </c>
      <c r="G16" s="174">
        <f>F16/E16%</f>
        <v>19.209986790315462</v>
      </c>
      <c r="H16" s="183">
        <f>+K16+N16+Q16+T16+W16+Z16+AC16+AF16+AI16+AL16+AO16</f>
        <v>103630</v>
      </c>
      <c r="I16" s="183">
        <f>+L16+O16+R16+U16+X16+AA16+AD16+AG16+AJ16+AM16+AP16</f>
        <v>28564.341899999999</v>
      </c>
      <c r="J16" s="174">
        <f>I16/H16%</f>
        <v>27.563776802084337</v>
      </c>
      <c r="K16" s="183">
        <v>1997</v>
      </c>
      <c r="L16" s="183">
        <v>0</v>
      </c>
      <c r="M16" s="174">
        <f>L16/K16%</f>
        <v>0</v>
      </c>
      <c r="N16" s="183">
        <v>2946</v>
      </c>
      <c r="O16" s="183">
        <v>0</v>
      </c>
      <c r="P16" s="174">
        <f>O16/N16%</f>
        <v>0</v>
      </c>
      <c r="Q16" s="183">
        <v>4529</v>
      </c>
      <c r="R16" s="183">
        <v>0</v>
      </c>
      <c r="S16" s="174">
        <f>R16/Q16%</f>
        <v>0</v>
      </c>
      <c r="T16" s="183">
        <v>9090</v>
      </c>
      <c r="U16" s="183">
        <f>331.335-2.73</f>
        <v>328.60499999999996</v>
      </c>
      <c r="V16" s="174">
        <f>U16/T16%</f>
        <v>3.6150165016501643</v>
      </c>
      <c r="W16" s="183">
        <v>9639</v>
      </c>
      <c r="X16" s="183">
        <v>11092.517</v>
      </c>
      <c r="Y16" s="174">
        <f>X16/W16%</f>
        <v>115.07954144620811</v>
      </c>
      <c r="Z16" s="183">
        <v>14604</v>
      </c>
      <c r="AA16" s="183">
        <f>4787.365-2959.108</f>
        <v>1828.2569999999996</v>
      </c>
      <c r="AB16" s="174">
        <f>AA16/Z16%</f>
        <v>12.518878389482332</v>
      </c>
      <c r="AC16" s="183">
        <v>13005</v>
      </c>
      <c r="AD16" s="183">
        <v>5895.9350000000004</v>
      </c>
      <c r="AE16" s="174">
        <f>AD16/AC16%</f>
        <v>45.335909265667048</v>
      </c>
      <c r="AF16" s="183">
        <v>18078</v>
      </c>
      <c r="AG16" s="183">
        <f>5437.106-1232.9911</f>
        <v>4204.1148999999996</v>
      </c>
      <c r="AH16" s="174">
        <f>AG16/AF16%</f>
        <v>23.255420400486777</v>
      </c>
      <c r="AI16" s="183">
        <v>16807</v>
      </c>
      <c r="AJ16" s="183">
        <v>686.79600000000005</v>
      </c>
      <c r="AK16" s="174">
        <f>AJ16/AI16%</f>
        <v>4.086368774915214</v>
      </c>
      <c r="AL16" s="183">
        <v>7050</v>
      </c>
      <c r="AM16" s="183">
        <v>862</v>
      </c>
      <c r="AN16" s="174">
        <f>AM16/AL16%</f>
        <v>12.226950354609929</v>
      </c>
      <c r="AO16" s="183">
        <v>5885</v>
      </c>
      <c r="AP16" s="183">
        <v>3666.1170000000002</v>
      </c>
      <c r="AQ16" s="174">
        <f>AP16/AO16%</f>
        <v>62.295955819881058</v>
      </c>
    </row>
    <row r="17" spans="1:43" x14ac:dyDescent="0.25">
      <c r="A17" s="186" t="s">
        <v>18</v>
      </c>
      <c r="B17" s="183">
        <v>73530</v>
      </c>
      <c r="C17" s="183">
        <f>18370.841-429.97</f>
        <v>17940.870999999999</v>
      </c>
      <c r="D17" s="174">
        <f>C17/B17%</f>
        <v>24.399389364885081</v>
      </c>
      <c r="E17" s="183">
        <f>+B17-H17</f>
        <v>32830</v>
      </c>
      <c r="F17" s="183">
        <f>+C17-I17</f>
        <v>3410.9389999999985</v>
      </c>
      <c r="G17" s="174">
        <f>F17/E17%</f>
        <v>10.389701492537309</v>
      </c>
      <c r="H17" s="183">
        <f>+K17+N17+Q17+T17+W17+Z17+AC17+AF17+AI17+AL17+AO17</f>
        <v>40700</v>
      </c>
      <c r="I17" s="183">
        <f>+L17+O17+R17+U17+X17+AA17+AD17+AG17+AJ17+AM17+AP17</f>
        <v>14529.932000000001</v>
      </c>
      <c r="J17" s="174">
        <f>I17/H17%</f>
        <v>35.700078624078628</v>
      </c>
      <c r="K17" s="183">
        <v>3700</v>
      </c>
      <c r="L17" s="183">
        <v>0</v>
      </c>
      <c r="M17" s="174">
        <f>L17/K17%</f>
        <v>0</v>
      </c>
      <c r="N17" s="183">
        <v>3700</v>
      </c>
      <c r="O17" s="183">
        <v>0</v>
      </c>
      <c r="P17" s="174">
        <f>O17/N17%</f>
        <v>0</v>
      </c>
      <c r="Q17" s="183">
        <v>3700</v>
      </c>
      <c r="R17" s="183">
        <v>4500</v>
      </c>
      <c r="S17" s="174">
        <f>R17/Q17%</f>
        <v>121.62162162162163</v>
      </c>
      <c r="T17" s="183">
        <v>3700</v>
      </c>
      <c r="U17" s="183">
        <v>1013.352</v>
      </c>
      <c r="V17" s="174">
        <f>U17/T17%</f>
        <v>27.38789189189189</v>
      </c>
      <c r="W17" s="183">
        <v>3700</v>
      </c>
      <c r="X17" s="183">
        <v>14.885999999999999</v>
      </c>
      <c r="Y17" s="174">
        <f>X17/W17%</f>
        <v>0.4023243243243243</v>
      </c>
      <c r="Z17" s="183">
        <v>3700</v>
      </c>
      <c r="AA17" s="183">
        <v>5508.9830000000002</v>
      </c>
      <c r="AB17" s="174">
        <f>AA17/Z17%</f>
        <v>148.89143243243242</v>
      </c>
      <c r="AC17" s="183">
        <v>3700</v>
      </c>
      <c r="AD17" s="183">
        <v>0</v>
      </c>
      <c r="AE17" s="174">
        <f>AD17/AC17%</f>
        <v>0</v>
      </c>
      <c r="AF17" s="183">
        <v>3700</v>
      </c>
      <c r="AG17" s="183">
        <v>812.33100000000002</v>
      </c>
      <c r="AH17" s="174">
        <f>AG17/AF17%</f>
        <v>21.954891891891894</v>
      </c>
      <c r="AI17" s="183">
        <v>3700</v>
      </c>
      <c r="AJ17" s="183">
        <v>85.451999999999998</v>
      </c>
      <c r="AK17" s="174">
        <f>AJ17/AI17%</f>
        <v>2.3095135135135134</v>
      </c>
      <c r="AL17" s="183">
        <v>3700</v>
      </c>
      <c r="AM17" s="183">
        <v>0</v>
      </c>
      <c r="AN17" s="174">
        <f>AM17/AL17%</f>
        <v>0</v>
      </c>
      <c r="AO17" s="183">
        <v>3700</v>
      </c>
      <c r="AP17" s="183">
        <v>2594.9279999999999</v>
      </c>
      <c r="AQ17" s="174">
        <f>AP17/AO17%</f>
        <v>70.133189189189181</v>
      </c>
    </row>
    <row r="18" spans="1:43" x14ac:dyDescent="0.25">
      <c r="A18" s="186" t="s">
        <v>36</v>
      </c>
      <c r="B18" s="183">
        <f>4400+283500+225067+39406+196897+61600</f>
        <v>810870</v>
      </c>
      <c r="C18" s="183">
        <f>164721.142-C16-C17-4603.749-5811.11-1349.198</f>
        <v>56426.18499999999</v>
      </c>
      <c r="D18" s="174">
        <f>C18/B18%</f>
        <v>6.9587214966640758</v>
      </c>
      <c r="E18" s="183">
        <f>+B18-H18</f>
        <v>298061</v>
      </c>
      <c r="F18" s="183">
        <f>+C18-I18</f>
        <v>25783.898899999993</v>
      </c>
      <c r="G18" s="174">
        <f>F18/E18%</f>
        <v>8.6505443181093771</v>
      </c>
      <c r="H18" s="183">
        <f>+K18+N18+Q18+T18+W18+Z18+AC18+AF18+AI18+AL18+AO18</f>
        <v>512809</v>
      </c>
      <c r="I18" s="183">
        <f>+L18+O18+R18+U18+X18+AA18+AD18+AG18+AJ18+AM18+AP18</f>
        <v>30642.286099999998</v>
      </c>
      <c r="J18" s="174">
        <f>I18/H18%</f>
        <v>5.9753799367795803</v>
      </c>
      <c r="K18" s="183">
        <f>400+35300+2082+8265</f>
        <v>46047</v>
      </c>
      <c r="L18" s="183">
        <v>6174.14</v>
      </c>
      <c r="M18" s="174">
        <f>L18/K18%</f>
        <v>13.408343648880491</v>
      </c>
      <c r="N18" s="183">
        <f>400+12100+3071+5616</f>
        <v>21187</v>
      </c>
      <c r="O18" s="183">
        <v>689.62400000000002</v>
      </c>
      <c r="P18" s="174">
        <f>O18/N18%</f>
        <v>3.2549393496011705</v>
      </c>
      <c r="Q18" s="183">
        <f>400+25700+4722+10680</f>
        <v>41502</v>
      </c>
      <c r="R18" s="183">
        <f>10175.556-R16-R17-5.416</f>
        <v>5670.14</v>
      </c>
      <c r="S18" s="174">
        <f>R18/Q18%</f>
        <v>13.662329526287891</v>
      </c>
      <c r="T18" s="183">
        <f>400+39500+9476+15000</f>
        <v>64376</v>
      </c>
      <c r="U18" s="183">
        <f>3997.208-U16-U17-2.73</f>
        <v>2652.5210000000002</v>
      </c>
      <c r="V18" s="174">
        <f>U18/T18%</f>
        <v>4.1203569653286944</v>
      </c>
      <c r="W18" s="183">
        <f>400+25000+10049+13000</f>
        <v>48449</v>
      </c>
      <c r="X18" s="183">
        <f>11390.607-X16-X17</f>
        <v>283.20400000000012</v>
      </c>
      <c r="Y18" s="174">
        <f>X18/W18%</f>
        <v>0.5845404445912199</v>
      </c>
      <c r="Z18" s="183">
        <f>400+23000+15224+4000</f>
        <v>42624</v>
      </c>
      <c r="AA18" s="183">
        <f>11694.906-AA16-AA17-2959.108</f>
        <v>1398.5580000000009</v>
      </c>
      <c r="AB18" s="174">
        <f>AA18/Z18%</f>
        <v>3.2811514639639658</v>
      </c>
      <c r="AC18" s="183">
        <f>400+18800+13557+18000</f>
        <v>50757</v>
      </c>
      <c r="AD18" s="183">
        <f>10701.893-AD16-AD17-1141.179</f>
        <v>3664.7789999999995</v>
      </c>
      <c r="AE18" s="174">
        <f>AD18/AC18%</f>
        <v>7.2202435132099998</v>
      </c>
      <c r="AF18" s="183">
        <f>400+29700+18846+10000</f>
        <v>58946</v>
      </c>
      <c r="AG18" s="183">
        <f>9025.475-AG16-AG17-1232.991-202.603</f>
        <v>2573.4351000000006</v>
      </c>
      <c r="AH18" s="174">
        <f>AG18/AF18%</f>
        <v>4.3657501781291357</v>
      </c>
      <c r="AI18" s="183">
        <f>400+25200+17522+11000</f>
        <v>54122</v>
      </c>
      <c r="AJ18" s="183">
        <f>2244.741-AJ16-AJ17</f>
        <v>1472.4929999999999</v>
      </c>
      <c r="AK18" s="174">
        <f>AJ18/AI18%</f>
        <v>2.720692139980045</v>
      </c>
      <c r="AL18" s="183">
        <f>400+28000+7350+6814</f>
        <v>42564</v>
      </c>
      <c r="AM18" s="183">
        <f>2446.047-AM16-AM17</f>
        <v>1584.047</v>
      </c>
      <c r="AN18" s="174">
        <f>AM18/AL18%</f>
        <v>3.7215651724461987</v>
      </c>
      <c r="AO18" s="183">
        <f>400+21200+6135+14500</f>
        <v>42235</v>
      </c>
      <c r="AP18" s="183">
        <f>10740.39-AP16-AP17</f>
        <v>4479.3449999999993</v>
      </c>
      <c r="AQ18" s="174">
        <f>AP18/AO18%</f>
        <v>10.60576536048301</v>
      </c>
    </row>
    <row r="19" spans="1:43" s="15" customFormat="1" ht="14.25" x14ac:dyDescent="0.2">
      <c r="A19" s="185" t="s">
        <v>28</v>
      </c>
      <c r="B19" s="3">
        <f t="shared" ref="B19:C19" si="12">+B20+B21+B22+B23+B24+B25+B26+B27</f>
        <v>7440199</v>
      </c>
      <c r="C19" s="3">
        <f t="shared" si="12"/>
        <v>1644907.0720000004</v>
      </c>
      <c r="D19" s="14">
        <f>C19/B19%</f>
        <v>22.108374681913755</v>
      </c>
      <c r="E19" s="3">
        <f>+B19-H19</f>
        <v>2402924</v>
      </c>
      <c r="F19" s="3">
        <f>+C19-I19</f>
        <v>382867.9150000005</v>
      </c>
      <c r="G19" s="14">
        <f>F19/E19%</f>
        <v>15.93341757791759</v>
      </c>
      <c r="H19" s="3">
        <f>+K19+N19+Q19+T19+W19+Z19+AC19+AF19+AI19+AL19+AO19</f>
        <v>5037275</v>
      </c>
      <c r="I19" s="3">
        <f>+L19+O19+R19+U19+X19+AA19+AD19+AG19+AJ19+AM19+AP19</f>
        <v>1262039.1569999999</v>
      </c>
      <c r="J19" s="14">
        <f>I19/H19%</f>
        <v>25.05400552878292</v>
      </c>
      <c r="K19" s="3">
        <f t="shared" ref="K19:L19" si="13">+K20+K21+K22+K23+K24+K25+K26+K27</f>
        <v>501811</v>
      </c>
      <c r="L19" s="3">
        <f t="shared" si="13"/>
        <v>131044.959</v>
      </c>
      <c r="M19" s="14">
        <f>L19/K19%</f>
        <v>26.114405423555883</v>
      </c>
      <c r="N19" s="3">
        <f t="shared" ref="N19:O19" si="14">+N20+N21+N22+N23+N24+N25+N26+N27</f>
        <v>268850</v>
      </c>
      <c r="O19" s="3">
        <f t="shared" si="14"/>
        <v>63350.633999999998</v>
      </c>
      <c r="P19" s="14">
        <f>O19/N19%</f>
        <v>23.563561093546586</v>
      </c>
      <c r="Q19" s="3">
        <f t="shared" ref="Q19:R19" si="15">+Q20+Q21+Q22+Q23+Q24+Q25+Q26+Q27</f>
        <v>409745</v>
      </c>
      <c r="R19" s="3">
        <f t="shared" si="15"/>
        <v>105950.11500000001</v>
      </c>
      <c r="S19" s="14">
        <f>R19/Q19%</f>
        <v>25.857573612856779</v>
      </c>
      <c r="T19" s="3">
        <f t="shared" ref="T19:U19" si="16">+T20+T21+T22+T23+T24+T25+T26+T27</f>
        <v>715460</v>
      </c>
      <c r="U19" s="3">
        <f t="shared" si="16"/>
        <v>181135.89199999999</v>
      </c>
      <c r="V19" s="14">
        <f>U19/T19%</f>
        <v>25.317403069353979</v>
      </c>
      <c r="W19" s="3">
        <f t="shared" ref="W19:X19" si="17">+W20+W21+W22+W23+W24+W25+W26+W27</f>
        <v>470389</v>
      </c>
      <c r="X19" s="3">
        <f t="shared" si="17"/>
        <v>115594.06900000002</v>
      </c>
      <c r="Y19" s="14">
        <f>X19/W19%</f>
        <v>24.574143740606182</v>
      </c>
      <c r="Z19" s="3">
        <f t="shared" ref="Z19:AA19" si="18">+Z20+Z21+Z22+Z23+Z24+Z25+Z26+Z27</f>
        <v>510664</v>
      </c>
      <c r="AA19" s="3">
        <f t="shared" si="18"/>
        <v>122390.844</v>
      </c>
      <c r="AB19" s="14">
        <f>AA19/Z19%</f>
        <v>23.967000610969247</v>
      </c>
      <c r="AC19" s="3">
        <f t="shared" ref="AC19" si="19">+AC20+AC21+AC22+AC23+AC24+AC25+AC26+AC27</f>
        <v>423926</v>
      </c>
      <c r="AD19" s="3">
        <f>+AD20+AD21+AD22+AD23+AD24+AD25+AD26+AD27</f>
        <v>106599.54599999999</v>
      </c>
      <c r="AE19" s="14">
        <f>AD19/AC19%</f>
        <v>25.145791010695259</v>
      </c>
      <c r="AF19" s="3">
        <f t="shared" ref="AF19:AG19" si="20">+AF20+AF21+AF22+AF23+AF24+AF25+AF26+AF27</f>
        <v>472525</v>
      </c>
      <c r="AG19" s="3">
        <f t="shared" si="20"/>
        <v>125861.05099999999</v>
      </c>
      <c r="AH19" s="14">
        <f>AG19/AF19%</f>
        <v>26.635850166657846</v>
      </c>
      <c r="AI19" s="3">
        <f t="shared" ref="AI19:AJ19" si="21">+AI20+AI21+AI22+AI23+AI24+AI25+AI26+AI27</f>
        <v>437122</v>
      </c>
      <c r="AJ19" s="3">
        <f t="shared" si="21"/>
        <v>107842.66499999999</v>
      </c>
      <c r="AK19" s="14">
        <f>AJ19/AI19%</f>
        <v>24.671067802581426</v>
      </c>
      <c r="AL19" s="3">
        <f t="shared" ref="AL19:AM19" si="22">+AL20+AL21+AL22+AL23+AL24+AL25+AL26+AL27</f>
        <v>407517</v>
      </c>
      <c r="AM19" s="3">
        <f t="shared" si="22"/>
        <v>100675.897</v>
      </c>
      <c r="AN19" s="14">
        <f>AM19/AL19%</f>
        <v>24.704710969112945</v>
      </c>
      <c r="AO19" s="3">
        <f t="shared" ref="AO19:AP19" si="23">+AO20+AO21+AO22+AO23+AO24+AO25+AO26+AO27</f>
        <v>419266</v>
      </c>
      <c r="AP19" s="3">
        <f t="shared" si="23"/>
        <v>101593.48500000002</v>
      </c>
      <c r="AQ19" s="14">
        <f>AP19/AO19%</f>
        <v>24.23127203255213</v>
      </c>
    </row>
    <row r="20" spans="1:43" x14ac:dyDescent="0.25">
      <c r="A20" s="186" t="s">
        <v>19</v>
      </c>
      <c r="B20" s="183">
        <v>5167262</v>
      </c>
      <c r="C20" s="183">
        <f>1160275.317-847.805-513.91</f>
        <v>1158913.6020000002</v>
      </c>
      <c r="D20" s="174">
        <f>C20/B20%</f>
        <v>22.428001560594375</v>
      </c>
      <c r="E20" s="183">
        <f>+B20-H20</f>
        <v>943592</v>
      </c>
      <c r="F20" s="183">
        <f>+C20-I20</f>
        <v>175870.48700000008</v>
      </c>
      <c r="G20" s="174">
        <f>F20/E20%</f>
        <v>18.63840378044749</v>
      </c>
      <c r="H20" s="183">
        <f>+K20+N20+Q20+T20+W20+Z20+AC20+AF20+AI20+AL20+AO20</f>
        <v>4223670</v>
      </c>
      <c r="I20" s="183">
        <f>+L20+O20+R20+U20+X20+AA20+AD20+AG20+AJ20+AM20+AP20</f>
        <v>983043.11500000011</v>
      </c>
      <c r="J20" s="174">
        <f>I20/H20%</f>
        <v>23.274619347628963</v>
      </c>
      <c r="K20" s="183">
        <v>428955</v>
      </c>
      <c r="L20" s="183">
        <v>97586.349000000002</v>
      </c>
      <c r="M20" s="174">
        <f>L20/K20%</f>
        <v>22.749787040598665</v>
      </c>
      <c r="N20" s="183">
        <v>216524</v>
      </c>
      <c r="O20" s="183">
        <v>49240.038999999997</v>
      </c>
      <c r="P20" s="174">
        <f>O20/N20%</f>
        <v>22.741146016146018</v>
      </c>
      <c r="Q20" s="183">
        <v>325118</v>
      </c>
      <c r="R20" s="183">
        <v>77806.600000000006</v>
      </c>
      <c r="S20" s="174">
        <f>R20/Q20%</f>
        <v>23.931803222214707</v>
      </c>
      <c r="T20" s="183">
        <v>610183</v>
      </c>
      <c r="U20" s="183">
        <v>142743.93799999999</v>
      </c>
      <c r="V20" s="174">
        <f>U20/T20%</f>
        <v>23.393627485524835</v>
      </c>
      <c r="W20" s="183">
        <v>395806</v>
      </c>
      <c r="X20" s="183">
        <v>91302.252999999997</v>
      </c>
      <c r="Y20" s="174">
        <f>X20/W20%</f>
        <v>23.067425203256139</v>
      </c>
      <c r="Z20" s="183">
        <v>416322</v>
      </c>
      <c r="AA20" s="183">
        <v>90752.380999999994</v>
      </c>
      <c r="AB20" s="174">
        <f>AA20/Z20%</f>
        <v>21.798603244603935</v>
      </c>
      <c r="AC20" s="183">
        <v>355021</v>
      </c>
      <c r="AD20" s="183">
        <v>82972.426999999996</v>
      </c>
      <c r="AE20" s="174">
        <f>AD20/AC20%</f>
        <v>23.371132130212015</v>
      </c>
      <c r="AF20" s="183">
        <v>408240</v>
      </c>
      <c r="AG20" s="183">
        <f>103585.256-4</f>
        <v>103581.25599999999</v>
      </c>
      <c r="AH20" s="174">
        <f>AG20/AF20%</f>
        <v>25.372637664119143</v>
      </c>
      <c r="AI20" s="183">
        <v>373401</v>
      </c>
      <c r="AJ20" s="183">
        <v>84307.37</v>
      </c>
      <c r="AK20" s="174">
        <f>AJ20/AI20%</f>
        <v>22.578238944191362</v>
      </c>
      <c r="AL20" s="183">
        <v>345242</v>
      </c>
      <c r="AM20" s="183">
        <v>81674.724000000002</v>
      </c>
      <c r="AN20" s="174">
        <f>AM20/AL20%</f>
        <v>23.657238690541707</v>
      </c>
      <c r="AO20" s="183">
        <v>348858</v>
      </c>
      <c r="AP20" s="183">
        <v>81075.778000000006</v>
      </c>
      <c r="AQ20" s="174">
        <f>AP20/AO20%</f>
        <v>23.240337902527678</v>
      </c>
    </row>
    <row r="21" spans="1:43" x14ac:dyDescent="0.25">
      <c r="A21" s="186" t="s">
        <v>20</v>
      </c>
      <c r="B21" s="183">
        <v>1025796</v>
      </c>
      <c r="C21" s="183">
        <v>132539.033</v>
      </c>
      <c r="D21" s="174">
        <f>C21/B21%</f>
        <v>12.920603414324097</v>
      </c>
      <c r="E21" s="183">
        <f>+B21-H21</f>
        <v>1022096</v>
      </c>
      <c r="F21" s="183">
        <f>+C21-I21</f>
        <v>131739.033</v>
      </c>
      <c r="G21" s="174">
        <f>F21/E21%</f>
        <v>12.889105622172478</v>
      </c>
      <c r="H21" s="183">
        <f>+K21+N21+Q21+T21+W21+Z21+AC21+AF21+AI21+AL21+AO21</f>
        <v>3700</v>
      </c>
      <c r="I21" s="183">
        <f>+L21+O21+R21+U21+X21+AA21+AD21+AG21+AJ21+AM21+AP21</f>
        <v>800</v>
      </c>
      <c r="J21" s="174">
        <f>I21/H21%</f>
        <v>21.621621621621621</v>
      </c>
      <c r="K21" s="183">
        <v>700</v>
      </c>
      <c r="L21" s="183">
        <v>0</v>
      </c>
      <c r="M21" s="174">
        <f>L21/K21%</f>
        <v>0</v>
      </c>
      <c r="N21" s="183">
        <v>300</v>
      </c>
      <c r="O21" s="183">
        <v>200</v>
      </c>
      <c r="P21" s="174">
        <f>O21/N21%</f>
        <v>66.666666666666671</v>
      </c>
      <c r="Q21" s="183">
        <v>300</v>
      </c>
      <c r="R21" s="183">
        <v>100</v>
      </c>
      <c r="S21" s="174">
        <f>R21/Q21%</f>
        <v>33.333333333333336</v>
      </c>
      <c r="T21" s="183">
        <v>300</v>
      </c>
      <c r="U21" s="183">
        <v>0</v>
      </c>
      <c r="V21" s="174">
        <f>U21/T21%</f>
        <v>0</v>
      </c>
      <c r="W21" s="183">
        <v>300</v>
      </c>
      <c r="X21" s="183">
        <v>85</v>
      </c>
      <c r="Y21" s="174">
        <f>X21/W21%</f>
        <v>28.333333333333332</v>
      </c>
      <c r="Z21" s="183">
        <v>300</v>
      </c>
      <c r="AA21" s="183">
        <v>100</v>
      </c>
      <c r="AB21" s="174">
        <f>AA21/Z21%</f>
        <v>33.333333333333336</v>
      </c>
      <c r="AC21" s="183">
        <v>300</v>
      </c>
      <c r="AD21" s="183">
        <v>75</v>
      </c>
      <c r="AE21" s="174">
        <f>AD21/AC21%</f>
        <v>25</v>
      </c>
      <c r="AF21" s="183">
        <v>300</v>
      </c>
      <c r="AG21" s="183">
        <v>50</v>
      </c>
      <c r="AH21" s="174">
        <f>AG21/AF21%</f>
        <v>16.666666666666668</v>
      </c>
      <c r="AI21" s="183">
        <v>300</v>
      </c>
      <c r="AJ21" s="183">
        <v>100</v>
      </c>
      <c r="AK21" s="174">
        <f>AJ21/AI21%</f>
        <v>33.333333333333336</v>
      </c>
      <c r="AL21" s="183">
        <v>300</v>
      </c>
      <c r="AM21" s="183">
        <v>90</v>
      </c>
      <c r="AN21" s="174">
        <f>AM21/AL21%</f>
        <v>30</v>
      </c>
      <c r="AO21" s="183">
        <v>300</v>
      </c>
      <c r="AP21" s="183">
        <v>0</v>
      </c>
      <c r="AQ21" s="174">
        <f>AP21/AO21%</f>
        <v>0</v>
      </c>
    </row>
    <row r="22" spans="1:43" x14ac:dyDescent="0.25">
      <c r="A22" s="186" t="s">
        <v>43</v>
      </c>
      <c r="B22" s="183">
        <v>37983</v>
      </c>
      <c r="C22" s="183">
        <v>9455.2119999999995</v>
      </c>
      <c r="D22" s="174">
        <f>C22/B22%</f>
        <v>24.893273306479212</v>
      </c>
      <c r="E22" s="183">
        <f>+B22-H22</f>
        <v>37983</v>
      </c>
      <c r="F22" s="183">
        <f>+C22-I22</f>
        <v>9455.2119999999995</v>
      </c>
      <c r="G22" s="174">
        <f>F22/E22%</f>
        <v>24.893273306479212</v>
      </c>
      <c r="H22" s="183">
        <f>+K22+N22+Q22+T22+W22+Z22+AC22+AF22+AI22+AL22+AO22</f>
        <v>0</v>
      </c>
      <c r="I22" s="183">
        <f>+L22+O22+R22+U22+X22+AA22+AD22+AG22+AJ22+AM22+AP22</f>
        <v>0</v>
      </c>
      <c r="J22" s="174"/>
      <c r="K22" s="183">
        <v>0</v>
      </c>
      <c r="L22" s="183">
        <v>0</v>
      </c>
      <c r="M22" s="174"/>
      <c r="N22" s="183">
        <v>0</v>
      </c>
      <c r="O22" s="183">
        <v>0</v>
      </c>
      <c r="P22" s="174"/>
      <c r="Q22" s="183">
        <v>0</v>
      </c>
      <c r="R22" s="183"/>
      <c r="S22" s="174"/>
      <c r="T22" s="183">
        <v>0</v>
      </c>
      <c r="U22" s="183"/>
      <c r="V22" s="174"/>
      <c r="W22" s="183">
        <v>0</v>
      </c>
      <c r="X22" s="183"/>
      <c r="Y22" s="174"/>
      <c r="Z22" s="183">
        <v>0</v>
      </c>
      <c r="AA22" s="183"/>
      <c r="AB22" s="174"/>
      <c r="AC22" s="183">
        <v>0</v>
      </c>
      <c r="AD22" s="183"/>
      <c r="AE22" s="174"/>
      <c r="AF22" s="183">
        <v>0</v>
      </c>
      <c r="AG22" s="183"/>
      <c r="AH22" s="174"/>
      <c r="AI22" s="183">
        <v>0</v>
      </c>
      <c r="AJ22" s="183"/>
      <c r="AK22" s="174"/>
      <c r="AL22" s="183">
        <v>0</v>
      </c>
      <c r="AM22" s="183"/>
      <c r="AN22" s="174"/>
      <c r="AO22" s="183">
        <v>0</v>
      </c>
      <c r="AP22" s="183"/>
      <c r="AQ22" s="174"/>
    </row>
    <row r="23" spans="1:43" x14ac:dyDescent="0.25">
      <c r="A23" s="186" t="s">
        <v>44</v>
      </c>
      <c r="B23" s="183">
        <v>124839</v>
      </c>
      <c r="C23" s="183">
        <f>41620.415-2423.795-1736.601</f>
        <v>37460.019</v>
      </c>
      <c r="D23" s="174">
        <f>C23/B23%</f>
        <v>30.00666378295244</v>
      </c>
      <c r="E23" s="183">
        <f>+B23-H23</f>
        <v>71949</v>
      </c>
      <c r="F23" s="183">
        <f>+C23-I23</f>
        <v>18095.88</v>
      </c>
      <c r="G23" s="174">
        <f>F23/E23%</f>
        <v>25.150981945544761</v>
      </c>
      <c r="H23" s="183">
        <f>+K23+N23+Q23+T23+W23+Z23+AC23+AF23+AI23+AL23+AO23</f>
        <v>52890</v>
      </c>
      <c r="I23" s="183">
        <f>+L23+O23+R23+U23+X23+AA23+AD23+AG23+AJ23+AM23+AP23</f>
        <v>19364.138999999999</v>
      </c>
      <c r="J23" s="174">
        <f>I23/H23%</f>
        <v>36.612098695405557</v>
      </c>
      <c r="K23" s="183">
        <v>4106</v>
      </c>
      <c r="L23" s="183">
        <v>3257.5569999999998</v>
      </c>
      <c r="M23" s="174">
        <f>L23/K23%</f>
        <v>79.336507549926921</v>
      </c>
      <c r="N23" s="183">
        <v>4224</v>
      </c>
      <c r="O23" s="183">
        <v>867.82</v>
      </c>
      <c r="P23" s="174">
        <f>O23/N23%</f>
        <v>20.544981060606062</v>
      </c>
      <c r="Q23" s="183">
        <v>3207</v>
      </c>
      <c r="R23" s="183">
        <v>743.76900000000001</v>
      </c>
      <c r="S23" s="174">
        <f>R23/Q23%</f>
        <v>23.192048643592141</v>
      </c>
      <c r="T23" s="183">
        <v>5892</v>
      </c>
      <c r="U23" s="183">
        <v>2453.7339999999999</v>
      </c>
      <c r="V23" s="174">
        <f>U23/T23%</f>
        <v>41.645179904955867</v>
      </c>
      <c r="W23" s="183">
        <v>5307</v>
      </c>
      <c r="X23" s="183">
        <v>1589.2349999999999</v>
      </c>
      <c r="Y23" s="174">
        <f>X23/W23%</f>
        <v>29.946014697569247</v>
      </c>
      <c r="Z23" s="183">
        <v>5488</v>
      </c>
      <c r="AA23" s="183">
        <v>1644.049</v>
      </c>
      <c r="AB23" s="174">
        <f>AA23/Z23%</f>
        <v>29.957161078717199</v>
      </c>
      <c r="AC23" s="183">
        <v>4948</v>
      </c>
      <c r="AD23" s="183">
        <v>973.09500000000003</v>
      </c>
      <c r="AE23" s="174">
        <f>AD23/AC23%</f>
        <v>19.666430881164107</v>
      </c>
      <c r="AF23" s="183">
        <v>5755</v>
      </c>
      <c r="AG23" s="183">
        <f>1724.657-150</f>
        <v>1574.6569999999999</v>
      </c>
      <c r="AH23" s="174">
        <f>AG23/AF23%</f>
        <v>27.361546481320591</v>
      </c>
      <c r="AI23" s="183">
        <v>3709</v>
      </c>
      <c r="AJ23" s="183">
        <v>3072.6</v>
      </c>
      <c r="AK23" s="174">
        <f>AJ23/AI23%</f>
        <v>82.841736317066591</v>
      </c>
      <c r="AL23" s="183">
        <v>7363</v>
      </c>
      <c r="AM23" s="183">
        <v>1711.9670000000001</v>
      </c>
      <c r="AN23" s="174">
        <f>AM23/AL23%</f>
        <v>23.250943908732857</v>
      </c>
      <c r="AO23" s="183">
        <v>2891</v>
      </c>
      <c r="AP23" s="183">
        <v>1475.6559999999999</v>
      </c>
      <c r="AQ23" s="174">
        <f>AP23/AO23%</f>
        <v>51.043099273607744</v>
      </c>
    </row>
    <row r="24" spans="1:43" x14ac:dyDescent="0.25">
      <c r="A24" s="186" t="s">
        <v>45</v>
      </c>
      <c r="B24" s="183">
        <v>31728</v>
      </c>
      <c r="C24" s="183">
        <f>4763.115-741.401</f>
        <v>4021.7139999999999</v>
      </c>
      <c r="D24" s="174">
        <f>C24/B24%</f>
        <v>12.675598840141202</v>
      </c>
      <c r="E24" s="183">
        <f>+B24-H24</f>
        <v>14750</v>
      </c>
      <c r="F24" s="183">
        <f>+C24-I24</f>
        <v>744.48999999999978</v>
      </c>
      <c r="G24" s="174">
        <f>F24/E24%</f>
        <v>5.0473898305084735</v>
      </c>
      <c r="H24" s="183">
        <f>+K24+N24+Q24+T24+W24+Z24+AC24+AF24+AI24+AL24+AO24</f>
        <v>16978</v>
      </c>
      <c r="I24" s="183">
        <f>+L24+O24+R24+U24+X24+AA24+AD24+AG24+AJ24+AM24+AP24</f>
        <v>3277.2240000000002</v>
      </c>
      <c r="J24" s="174">
        <f>I24/H24%</f>
        <v>19.302768288373191</v>
      </c>
      <c r="K24" s="183">
        <v>1000</v>
      </c>
      <c r="L24" s="183">
        <v>418.12299999999999</v>
      </c>
      <c r="M24" s="174">
        <f>L24/K24%</f>
        <v>41.8123</v>
      </c>
      <c r="N24" s="183">
        <v>1000</v>
      </c>
      <c r="O24" s="183">
        <v>0</v>
      </c>
      <c r="P24" s="174">
        <f>O24/N24%</f>
        <v>0</v>
      </c>
      <c r="Q24" s="183">
        <v>2861</v>
      </c>
      <c r="R24" s="183">
        <v>579.48099999999999</v>
      </c>
      <c r="S24" s="174">
        <f>R24/Q24%</f>
        <v>20.254491436560642</v>
      </c>
      <c r="T24" s="183">
        <v>1000</v>
      </c>
      <c r="U24" s="183">
        <v>0</v>
      </c>
      <c r="V24" s="174">
        <f>U24/T24%</f>
        <v>0</v>
      </c>
      <c r="W24" s="183">
        <v>1000</v>
      </c>
      <c r="X24" s="183">
        <v>217.22499999999999</v>
      </c>
      <c r="Y24" s="174">
        <f>X24/W24%</f>
        <v>21.7225</v>
      </c>
      <c r="Z24" s="183">
        <v>1000</v>
      </c>
      <c r="AA24" s="183">
        <v>695.95699999999999</v>
      </c>
      <c r="AB24" s="174">
        <f>AA24/Z24%</f>
        <v>69.595699999999994</v>
      </c>
      <c r="AC24" s="183">
        <v>1000</v>
      </c>
      <c r="AD24" s="183">
        <v>0</v>
      </c>
      <c r="AE24" s="174">
        <f>AD24/AC24%</f>
        <v>0</v>
      </c>
      <c r="AF24" s="183">
        <v>1000</v>
      </c>
      <c r="AG24" s="183">
        <v>170.7</v>
      </c>
      <c r="AH24" s="174">
        <f>AG24/AF24%</f>
        <v>17.07</v>
      </c>
      <c r="AI24" s="183">
        <v>3355</v>
      </c>
      <c r="AJ24" s="183">
        <v>76.540000000000006</v>
      </c>
      <c r="AK24" s="174">
        <f>AJ24/AI24%</f>
        <v>2.2813710879284654</v>
      </c>
      <c r="AL24" s="183">
        <v>1050</v>
      </c>
      <c r="AM24" s="183">
        <v>78.007000000000005</v>
      </c>
      <c r="AN24" s="174">
        <f>AM24/AL24%</f>
        <v>7.4292380952380954</v>
      </c>
      <c r="AO24" s="183">
        <v>2712</v>
      </c>
      <c r="AP24" s="183">
        <v>1041.191</v>
      </c>
      <c r="AQ24" s="174">
        <f>AP24/AO24%</f>
        <v>38.391998525073745</v>
      </c>
    </row>
    <row r="25" spans="1:43" x14ac:dyDescent="0.25">
      <c r="A25" s="186" t="s">
        <v>21</v>
      </c>
      <c r="B25" s="183">
        <v>126269</v>
      </c>
      <c r="C25" s="183">
        <f>31243.796-1247.277</f>
        <v>29996.519</v>
      </c>
      <c r="D25" s="174">
        <f>C25/B25%</f>
        <v>23.756043842906809</v>
      </c>
      <c r="E25" s="183">
        <f>+B25-H25</f>
        <v>115019</v>
      </c>
      <c r="F25" s="183">
        <f>+C25-I25</f>
        <v>27826.064999999999</v>
      </c>
      <c r="G25" s="174">
        <f>F25/E25%</f>
        <v>24.192581225710533</v>
      </c>
      <c r="H25" s="183">
        <f>+K25+N25+Q25+T25+W25+Z25+AC25+AF25+AI25+AL25+AO25</f>
        <v>11250</v>
      </c>
      <c r="I25" s="183">
        <f>+L25+O25+R25+U25+X25+AA25+AD25+AG25+AJ25+AM25+AP25</f>
        <v>2170.4540000000002</v>
      </c>
      <c r="J25" s="174">
        <f>I25/H25%</f>
        <v>19.292924444444445</v>
      </c>
      <c r="K25" s="183">
        <v>1000</v>
      </c>
      <c r="L25" s="183">
        <v>161.49199999999999</v>
      </c>
      <c r="M25" s="174">
        <f>L25/K25%</f>
        <v>16.1492</v>
      </c>
      <c r="N25" s="183">
        <v>1050</v>
      </c>
      <c r="O25" s="183">
        <v>0</v>
      </c>
      <c r="P25" s="174">
        <f>O25/N25%</f>
        <v>0</v>
      </c>
      <c r="Q25" s="183">
        <v>1050</v>
      </c>
      <c r="R25" s="183">
        <v>265.31099999999998</v>
      </c>
      <c r="S25" s="174">
        <f>R25/Q25%</f>
        <v>25.267714285714284</v>
      </c>
      <c r="T25" s="183">
        <v>1000</v>
      </c>
      <c r="U25" s="183">
        <v>0</v>
      </c>
      <c r="V25" s="174">
        <f>U25/T25%</f>
        <v>0</v>
      </c>
      <c r="W25" s="183">
        <v>1000</v>
      </c>
      <c r="X25" s="183">
        <v>402.63400000000001</v>
      </c>
      <c r="Y25" s="174">
        <f>X25/W25%</f>
        <v>40.263400000000004</v>
      </c>
      <c r="Z25" s="183">
        <v>1000</v>
      </c>
      <c r="AA25" s="183">
        <v>503.399</v>
      </c>
      <c r="AB25" s="174">
        <f>AA25/Z25%</f>
        <v>50.3399</v>
      </c>
      <c r="AC25" s="183">
        <v>1000</v>
      </c>
      <c r="AD25" s="183">
        <v>126.58199999999999</v>
      </c>
      <c r="AE25" s="174">
        <f>AD25/AC25%</f>
        <v>12.658199999999999</v>
      </c>
      <c r="AF25" s="183">
        <v>1000</v>
      </c>
      <c r="AG25" s="183">
        <v>137.328</v>
      </c>
      <c r="AH25" s="174">
        <f>AG25/AF25%</f>
        <v>13.732800000000001</v>
      </c>
      <c r="AI25" s="183">
        <v>1050</v>
      </c>
      <c r="AJ25" s="183">
        <v>327.48399999999998</v>
      </c>
      <c r="AK25" s="174">
        <f>AJ25/AI25%</f>
        <v>31.188952380952379</v>
      </c>
      <c r="AL25" s="183">
        <v>1050</v>
      </c>
      <c r="AM25" s="183">
        <v>246.22399999999999</v>
      </c>
      <c r="AN25" s="174">
        <f>AM25/AL25%</f>
        <v>23.449904761904762</v>
      </c>
      <c r="AO25" s="183">
        <v>1050</v>
      </c>
      <c r="AP25" s="183">
        <v>0</v>
      </c>
      <c r="AQ25" s="174">
        <f>AP25/AO25%</f>
        <v>0</v>
      </c>
    </row>
    <row r="26" spans="1:43" x14ac:dyDescent="0.25">
      <c r="A26" s="186" t="s">
        <v>22</v>
      </c>
      <c r="B26" s="183">
        <v>840188</v>
      </c>
      <c r="C26" s="183">
        <f>277600.069-5012.496-66.6</f>
        <v>272520.97300000006</v>
      </c>
      <c r="D26" s="174">
        <f>C26/B26%</f>
        <v>32.435713554585412</v>
      </c>
      <c r="E26" s="183">
        <f>+B26-H26</f>
        <v>111401</v>
      </c>
      <c r="F26" s="183">
        <f>+C26-I26</f>
        <v>19136.74800000008</v>
      </c>
      <c r="G26" s="174">
        <f>F26/E26%</f>
        <v>17.178255132359745</v>
      </c>
      <c r="H26" s="183">
        <f>+K26+N26+Q26+T26+W26+Z26+AC26+AF26+AI26+AL26+AO26</f>
        <v>728787</v>
      </c>
      <c r="I26" s="183">
        <f>+L26+O26+R26+U26+X26+AA26+AD26+AG26+AJ26+AM26+AP26</f>
        <v>253384.22499999998</v>
      </c>
      <c r="J26" s="174">
        <f>I26/H26%</f>
        <v>34.767939740966838</v>
      </c>
      <c r="K26" s="183">
        <v>66050</v>
      </c>
      <c r="L26" s="183">
        <v>29621.437999999998</v>
      </c>
      <c r="M26" s="174">
        <f>L26/K26%</f>
        <v>44.846991672975015</v>
      </c>
      <c r="N26" s="183">
        <v>45752</v>
      </c>
      <c r="O26" s="183">
        <v>13042.775</v>
      </c>
      <c r="P26" s="174">
        <f>O26/N26%</f>
        <v>28.507551582444485</v>
      </c>
      <c r="Q26" s="183">
        <v>77209</v>
      </c>
      <c r="R26" s="183">
        <v>26454.954000000002</v>
      </c>
      <c r="S26" s="174">
        <f>R26/Q26%</f>
        <v>34.264080612363841</v>
      </c>
      <c r="T26" s="183">
        <v>97085</v>
      </c>
      <c r="U26" s="183">
        <v>35938.22</v>
      </c>
      <c r="V26" s="174">
        <f>U26/T26%</f>
        <v>37.017273523201318</v>
      </c>
      <c r="W26" s="183">
        <v>66976</v>
      </c>
      <c r="X26" s="183">
        <f>22064.322-66.6</f>
        <v>21997.722000000002</v>
      </c>
      <c r="Y26" s="174">
        <f>X26/W26%</f>
        <v>32.844185977066417</v>
      </c>
      <c r="Z26" s="183">
        <v>86554</v>
      </c>
      <c r="AA26" s="183">
        <v>28695.058000000001</v>
      </c>
      <c r="AB26" s="174">
        <f>AA26/Z26%</f>
        <v>33.15278092289207</v>
      </c>
      <c r="AC26" s="183">
        <v>61657</v>
      </c>
      <c r="AD26" s="183">
        <v>22452.441999999999</v>
      </c>
      <c r="AE26" s="174">
        <f>AD26/AC26%</f>
        <v>36.415073714257908</v>
      </c>
      <c r="AF26" s="183">
        <v>56230</v>
      </c>
      <c r="AG26" s="183">
        <v>20347.11</v>
      </c>
      <c r="AH26" s="174">
        <f>AG26/AF26%</f>
        <v>36.185505957673847</v>
      </c>
      <c r="AI26" s="183">
        <v>55307</v>
      </c>
      <c r="AJ26" s="183">
        <v>19958.670999999998</v>
      </c>
      <c r="AK26" s="174">
        <f>AJ26/AI26%</f>
        <v>36.087061312311278</v>
      </c>
      <c r="AL26" s="183">
        <v>52512</v>
      </c>
      <c r="AM26" s="183">
        <v>16874.974999999999</v>
      </c>
      <c r="AN26" s="174">
        <f>AM26/AL26%</f>
        <v>32.135464274832415</v>
      </c>
      <c r="AO26" s="183">
        <v>63455</v>
      </c>
      <c r="AP26" s="183">
        <v>18000.86</v>
      </c>
      <c r="AQ26" s="174">
        <f>AP26/AO26%</f>
        <v>28.36791426995509</v>
      </c>
    </row>
    <row r="27" spans="1:43" s="15" customFormat="1" hidden="1" x14ac:dyDescent="0.25">
      <c r="A27" s="186" t="s">
        <v>23</v>
      </c>
      <c r="B27" s="183">
        <v>86134</v>
      </c>
      <c r="C27" s="183">
        <v>0</v>
      </c>
      <c r="D27" s="14">
        <f>C27/B27%</f>
        <v>0</v>
      </c>
      <c r="E27" s="183">
        <f>+B27-H27</f>
        <v>86134</v>
      </c>
      <c r="F27" s="183">
        <f>+C27-I27</f>
        <v>0</v>
      </c>
      <c r="G27" s="174">
        <f>F27/E27%</f>
        <v>0</v>
      </c>
      <c r="H27" s="183">
        <f>+K27+N27+Q27+T27+W27+Z27+AC27+AF27+AI27+AL27+AO27</f>
        <v>0</v>
      </c>
      <c r="I27" s="183">
        <f>+L27+O27+R27+U27+X27+AA27+AD27+AG27+AJ27+AM27+AP27</f>
        <v>0</v>
      </c>
      <c r="J27" s="14" t="e">
        <f>I27/H27%</f>
        <v>#DIV/0!</v>
      </c>
      <c r="K27" s="183">
        <v>0</v>
      </c>
      <c r="L27" s="183"/>
      <c r="M27" s="14" t="e">
        <f>L27/K27%</f>
        <v>#DIV/0!</v>
      </c>
      <c r="N27" s="183">
        <v>0</v>
      </c>
      <c r="O27" s="183"/>
      <c r="P27" s="14" t="e">
        <f>O27/N27%</f>
        <v>#DIV/0!</v>
      </c>
      <c r="Q27" s="183">
        <v>0</v>
      </c>
      <c r="R27" s="183"/>
      <c r="S27" s="14" t="e">
        <f>R27/Q27%</f>
        <v>#DIV/0!</v>
      </c>
      <c r="T27" s="183">
        <v>0</v>
      </c>
      <c r="U27" s="183"/>
      <c r="V27" s="14" t="e">
        <f>U27/T27%</f>
        <v>#DIV/0!</v>
      </c>
      <c r="W27" s="183">
        <v>0</v>
      </c>
      <c r="X27" s="183"/>
      <c r="Y27" s="14" t="e">
        <f>X27/W27%</f>
        <v>#DIV/0!</v>
      </c>
      <c r="Z27" s="183">
        <v>0</v>
      </c>
      <c r="AA27" s="183"/>
      <c r="AB27" s="14" t="e">
        <f>AA27/Z27%</f>
        <v>#DIV/0!</v>
      </c>
      <c r="AC27" s="183">
        <v>0</v>
      </c>
      <c r="AD27" s="183"/>
      <c r="AE27" s="14" t="e">
        <f>AD27/AC27%</f>
        <v>#DIV/0!</v>
      </c>
      <c r="AF27" s="183">
        <v>0</v>
      </c>
      <c r="AG27" s="183"/>
      <c r="AH27" s="14" t="e">
        <f>AG27/AF27%</f>
        <v>#DIV/0!</v>
      </c>
      <c r="AI27" s="183">
        <v>0</v>
      </c>
      <c r="AJ27" s="183"/>
      <c r="AK27" s="14" t="e">
        <f>AJ27/AI27%</f>
        <v>#DIV/0!</v>
      </c>
      <c r="AL27" s="183">
        <v>0</v>
      </c>
      <c r="AM27" s="183"/>
      <c r="AN27" s="14" t="e">
        <f>AM27/AL27%</f>
        <v>#DIV/0!</v>
      </c>
      <c r="AO27" s="183">
        <v>0</v>
      </c>
      <c r="AP27" s="183"/>
      <c r="AQ27" s="14" t="e">
        <f>AP27/AO27%</f>
        <v>#DIV/0!</v>
      </c>
    </row>
    <row r="28" spans="1:43" x14ac:dyDescent="0.25">
      <c r="A28" s="185" t="s">
        <v>29</v>
      </c>
      <c r="B28" s="3">
        <f>SUM(B29:B32)</f>
        <v>853826</v>
      </c>
      <c r="C28" s="3">
        <f>495657.922-261373.086-5318.764</f>
        <v>228966.07200000001</v>
      </c>
      <c r="D28" s="174">
        <f>C28/B28%</f>
        <v>26.816479235816196</v>
      </c>
      <c r="E28" s="3">
        <f>+B28-H28</f>
        <v>428193</v>
      </c>
      <c r="F28" s="3">
        <f>+C28-I28</f>
        <v>92773.209000000003</v>
      </c>
      <c r="G28" s="14">
        <f>F28/E28%</f>
        <v>21.666213366402534</v>
      </c>
      <c r="H28" s="3">
        <f>+K28+N28+Q28+T28+W28+Z28+AC28+AF28+AI28+AL28+AO28</f>
        <v>425633</v>
      </c>
      <c r="I28" s="3">
        <f>+L28+O28+R28+U28+X28+AA28+AD28+AG28+AJ28+AM28+AP28</f>
        <v>136192.86300000001</v>
      </c>
      <c r="J28" s="14">
        <f>I28/H28%</f>
        <v>31.997721746199193</v>
      </c>
      <c r="K28" s="3">
        <f>SUM(K29:K32)</f>
        <v>38708</v>
      </c>
      <c r="L28" s="3">
        <v>9698.1990000000005</v>
      </c>
      <c r="M28" s="14">
        <f>L28/K28%</f>
        <v>25.054766456546453</v>
      </c>
      <c r="N28" s="3">
        <f>SUM(N29:N32)</f>
        <v>36745</v>
      </c>
      <c r="O28" s="3">
        <v>9689.4060000000009</v>
      </c>
      <c r="P28" s="14">
        <f>O28/N28%</f>
        <v>26.369318274595187</v>
      </c>
      <c r="Q28" s="3">
        <f>SUM(Q29:Q32)</f>
        <v>37258</v>
      </c>
      <c r="R28" s="3">
        <v>7684.8190000000004</v>
      </c>
      <c r="S28" s="14">
        <f>R28/Q28%</f>
        <v>20.62595684148371</v>
      </c>
      <c r="T28" s="3">
        <f>SUM(T29:T32)</f>
        <v>39992</v>
      </c>
      <c r="U28" s="3">
        <v>10249.716</v>
      </c>
      <c r="V28" s="14">
        <f>U28/T28%</f>
        <v>25.629415883176634</v>
      </c>
      <c r="W28" s="3">
        <f>SUM(W29:W32)</f>
        <v>37924</v>
      </c>
      <c r="X28" s="3">
        <f>18167.565-1549.172</f>
        <v>16618.393</v>
      </c>
      <c r="Y28" s="14">
        <f>X28/W28%</f>
        <v>43.820253665225188</v>
      </c>
      <c r="Z28" s="3">
        <f>SUM(Z29:Z32)</f>
        <v>34385</v>
      </c>
      <c r="AA28" s="3">
        <v>10820.25</v>
      </c>
      <c r="AB28" s="14">
        <f>AA28/Z28%</f>
        <v>31.467936600261741</v>
      </c>
      <c r="AC28" s="3">
        <f>SUM(AC29:AC32)</f>
        <v>46340</v>
      </c>
      <c r="AD28" s="3">
        <v>13208.302</v>
      </c>
      <c r="AE28" s="14">
        <f>AD28/AC28%</f>
        <v>28.503025463962022</v>
      </c>
      <c r="AF28" s="3">
        <f>SUM(AF29:AF32)</f>
        <v>39766</v>
      </c>
      <c r="AG28" s="3">
        <v>11055.427</v>
      </c>
      <c r="AH28" s="14">
        <f>AG28/AF28%</f>
        <v>27.801204546597592</v>
      </c>
      <c r="AI28" s="3">
        <f>SUM(AI29:AI32)</f>
        <v>38235</v>
      </c>
      <c r="AJ28" s="3">
        <v>11198.126</v>
      </c>
      <c r="AK28" s="14">
        <f>AJ28/AI28%</f>
        <v>29.287631751013468</v>
      </c>
      <c r="AL28" s="3">
        <f>SUM(AL29:AL32)</f>
        <v>38912</v>
      </c>
      <c r="AM28" s="3">
        <f>22942.081-614.314</f>
        <v>22327.767</v>
      </c>
      <c r="AN28" s="14">
        <f>AM28/AL28%</f>
        <v>57.380157791940789</v>
      </c>
      <c r="AO28" s="3">
        <f>SUM(AO29:AO32)</f>
        <v>37368</v>
      </c>
      <c r="AP28" s="3">
        <f>16797.735-3155.277</f>
        <v>13642.458000000001</v>
      </c>
      <c r="AQ28" s="14">
        <f>AP28/AO28%</f>
        <v>36.508397559409119</v>
      </c>
    </row>
    <row r="29" spans="1:43" hidden="1" x14ac:dyDescent="0.25">
      <c r="A29" s="186" t="s">
        <v>46</v>
      </c>
      <c r="B29" s="183">
        <v>484390</v>
      </c>
      <c r="C29" s="183"/>
      <c r="D29" s="174">
        <f>C29/B29%</f>
        <v>0</v>
      </c>
      <c r="E29" s="183">
        <f>+B29-H29</f>
        <v>261261</v>
      </c>
      <c r="F29" s="183">
        <f>+C29-I29</f>
        <v>0</v>
      </c>
      <c r="G29" s="174"/>
      <c r="H29" s="183">
        <f>+K29+N29+Q29+T29+W29+Z29+AC29+AF29+AI29+AL29+AO29</f>
        <v>223129</v>
      </c>
      <c r="I29" s="183">
        <f>+L29+O29+R29+U29+X29+AA29+AD29+AG29+AJ29+AM29+AP29</f>
        <v>0</v>
      </c>
      <c r="J29" s="14">
        <f>I29/H29%</f>
        <v>0</v>
      </c>
      <c r="K29" s="183">
        <v>22225</v>
      </c>
      <c r="L29" s="183"/>
      <c r="M29" s="14">
        <f>L29/K29%</f>
        <v>0</v>
      </c>
      <c r="N29" s="183">
        <v>19126</v>
      </c>
      <c r="O29" s="183"/>
      <c r="P29" s="14">
        <f>O29/N29%</f>
        <v>0</v>
      </c>
      <c r="Q29" s="183">
        <v>22768</v>
      </c>
      <c r="R29" s="183"/>
      <c r="S29" s="14">
        <f>R29/Q29%</f>
        <v>0</v>
      </c>
      <c r="T29" s="183">
        <v>20676</v>
      </c>
      <c r="U29" s="183"/>
      <c r="V29" s="14">
        <f>U29/T29%</f>
        <v>0</v>
      </c>
      <c r="W29" s="183">
        <v>18792</v>
      </c>
      <c r="X29" s="183"/>
      <c r="Y29" s="14">
        <f>X29/W29%</f>
        <v>0</v>
      </c>
      <c r="Z29" s="183">
        <v>17859</v>
      </c>
      <c r="AA29" s="183"/>
      <c r="AB29" s="14">
        <f>AA29/Z29%</f>
        <v>0</v>
      </c>
      <c r="AC29" s="183">
        <v>23599</v>
      </c>
      <c r="AD29" s="183"/>
      <c r="AE29" s="14">
        <f>AD29/AC29%</f>
        <v>0</v>
      </c>
      <c r="AF29" s="183">
        <v>22130</v>
      </c>
      <c r="AG29" s="183"/>
      <c r="AH29" s="14">
        <f>AG29/AF29%</f>
        <v>0</v>
      </c>
      <c r="AI29" s="183">
        <v>18707</v>
      </c>
      <c r="AJ29" s="183"/>
      <c r="AK29" s="14">
        <f>AJ29/AI29%</f>
        <v>0</v>
      </c>
      <c r="AL29" s="183">
        <v>18994</v>
      </c>
      <c r="AM29" s="183"/>
      <c r="AN29" s="14">
        <f>AM29/AL29%</f>
        <v>0</v>
      </c>
      <c r="AO29" s="183">
        <v>18253</v>
      </c>
      <c r="AP29" s="183"/>
      <c r="AQ29" s="14">
        <f>AP29/AO29%</f>
        <v>0</v>
      </c>
    </row>
    <row r="30" spans="1:43" hidden="1" x14ac:dyDescent="0.25">
      <c r="A30" s="186" t="s">
        <v>47</v>
      </c>
      <c r="B30" s="183">
        <v>153803</v>
      </c>
      <c r="C30" s="183"/>
      <c r="D30" s="174">
        <f>C30/B30%</f>
        <v>0</v>
      </c>
      <c r="E30" s="183">
        <f>+B30-H30</f>
        <v>65500</v>
      </c>
      <c r="F30" s="183">
        <f>+C30-I30</f>
        <v>0</v>
      </c>
      <c r="G30" s="174"/>
      <c r="H30" s="183">
        <f>+K30+N30+Q30+T30+W30+Z30+AC30+AF30+AI30+AL30+AO30</f>
        <v>88303</v>
      </c>
      <c r="I30" s="183">
        <f>+L30+O30+R30+U30+X30+AA30+AD30+AG30+AJ30+AM30+AP30</f>
        <v>0</v>
      </c>
      <c r="J30" s="14">
        <f>I30/H30%</f>
        <v>0</v>
      </c>
      <c r="K30" s="183">
        <v>8210</v>
      </c>
      <c r="L30" s="183"/>
      <c r="M30" s="14">
        <f>L30/K30%</f>
        <v>0</v>
      </c>
      <c r="N30" s="183">
        <v>8544</v>
      </c>
      <c r="O30" s="183"/>
      <c r="P30" s="14">
        <f>O30/N30%</f>
        <v>0</v>
      </c>
      <c r="Q30" s="183">
        <v>7835</v>
      </c>
      <c r="R30" s="183"/>
      <c r="S30" s="14">
        <f>R30/Q30%</f>
        <v>0</v>
      </c>
      <c r="T30" s="183">
        <v>7068</v>
      </c>
      <c r="U30" s="183"/>
      <c r="V30" s="14">
        <f>U30/T30%</f>
        <v>0</v>
      </c>
      <c r="W30" s="183">
        <v>7699</v>
      </c>
      <c r="X30" s="183"/>
      <c r="Y30" s="14">
        <f>X30/W30%</f>
        <v>0</v>
      </c>
      <c r="Z30" s="183">
        <v>7606</v>
      </c>
      <c r="AA30" s="183"/>
      <c r="AB30" s="14">
        <f>AA30/Z30%</f>
        <v>0</v>
      </c>
      <c r="AC30" s="183">
        <v>8873</v>
      </c>
      <c r="AD30" s="183"/>
      <c r="AE30" s="14">
        <f>AD30/AC30%</f>
        <v>0</v>
      </c>
      <c r="AF30" s="183">
        <v>7541</v>
      </c>
      <c r="AG30" s="183"/>
      <c r="AH30" s="14">
        <f>AG30/AF30%</f>
        <v>0</v>
      </c>
      <c r="AI30" s="183">
        <v>9132</v>
      </c>
      <c r="AJ30" s="183"/>
      <c r="AK30" s="14">
        <f>AJ30/AI30%</f>
        <v>0</v>
      </c>
      <c r="AL30" s="183">
        <v>8230</v>
      </c>
      <c r="AM30" s="183"/>
      <c r="AN30" s="14">
        <f>AM30/AL30%</f>
        <v>0</v>
      </c>
      <c r="AO30" s="183">
        <v>7565</v>
      </c>
      <c r="AP30" s="183"/>
      <c r="AQ30" s="14">
        <f>AP30/AO30%</f>
        <v>0</v>
      </c>
    </row>
    <row r="31" spans="1:43" hidden="1" x14ac:dyDescent="0.25">
      <c r="A31" s="186" t="s">
        <v>48</v>
      </c>
      <c r="B31" s="183">
        <v>117520</v>
      </c>
      <c r="C31" s="183"/>
      <c r="D31" s="174"/>
      <c r="E31" s="183">
        <f>+B31-H31</f>
        <v>55742</v>
      </c>
      <c r="F31" s="183">
        <f>+C31-I31</f>
        <v>0</v>
      </c>
      <c r="G31" s="174"/>
      <c r="H31" s="183">
        <f>+K31+N31+Q31+T31+W31+Z31+AC31+AF31+AI31+AL31+AO31</f>
        <v>61778</v>
      </c>
      <c r="I31" s="183">
        <f>+L31+O31+R31+U31+X31+AA31+AD31+AG31+AJ31+AM31+AP31</f>
        <v>0</v>
      </c>
      <c r="J31" s="14">
        <f>I31/H31%</f>
        <v>0</v>
      </c>
      <c r="K31" s="183">
        <v>4624</v>
      </c>
      <c r="L31" s="183"/>
      <c r="M31" s="14">
        <f>L31/K31%</f>
        <v>0</v>
      </c>
      <c r="N31" s="183">
        <v>5175</v>
      </c>
      <c r="O31" s="183"/>
      <c r="P31" s="14">
        <f>O31/N31%</f>
        <v>0</v>
      </c>
      <c r="Q31" s="183">
        <v>5155</v>
      </c>
      <c r="R31" s="183"/>
      <c r="S31" s="14">
        <f>R31/Q31%</f>
        <v>0</v>
      </c>
      <c r="T31" s="183">
        <v>6174</v>
      </c>
      <c r="U31" s="183"/>
      <c r="V31" s="14">
        <f>U31/T31%</f>
        <v>0</v>
      </c>
      <c r="W31" s="183">
        <v>5633</v>
      </c>
      <c r="X31" s="183"/>
      <c r="Y31" s="14">
        <f>X31/W31%</f>
        <v>0</v>
      </c>
      <c r="Z31" s="183">
        <v>5270</v>
      </c>
      <c r="AA31" s="183"/>
      <c r="AB31" s="14">
        <f>AA31/Z31%</f>
        <v>0</v>
      </c>
      <c r="AC31" s="183">
        <v>6668</v>
      </c>
      <c r="AD31" s="183"/>
      <c r="AE31" s="14">
        <f>AD31/AC31%</f>
        <v>0</v>
      </c>
      <c r="AF31" s="183">
        <v>5095</v>
      </c>
      <c r="AG31" s="183"/>
      <c r="AH31" s="14">
        <f>AG31/AF31%</f>
        <v>0</v>
      </c>
      <c r="AI31" s="183">
        <v>5996</v>
      </c>
      <c r="AJ31" s="183"/>
      <c r="AK31" s="14">
        <f>AJ31/AI31%</f>
        <v>0</v>
      </c>
      <c r="AL31" s="183">
        <v>6188</v>
      </c>
      <c r="AM31" s="183"/>
      <c r="AN31" s="14">
        <f>AM31/AL31%</f>
        <v>0</v>
      </c>
      <c r="AO31" s="183">
        <v>5800</v>
      </c>
      <c r="AP31" s="183"/>
      <c r="AQ31" s="14">
        <f>AP31/AO31%</f>
        <v>0</v>
      </c>
    </row>
    <row r="32" spans="1:43" s="15" customFormat="1" hidden="1" x14ac:dyDescent="0.25">
      <c r="A32" s="186" t="s">
        <v>49</v>
      </c>
      <c r="B32" s="183">
        <v>98113</v>
      </c>
      <c r="C32" s="183"/>
      <c r="D32" s="14">
        <f>C32/B32%</f>
        <v>0</v>
      </c>
      <c r="E32" s="183">
        <f>+B32-H32</f>
        <v>45690</v>
      </c>
      <c r="F32" s="183">
        <f>+C32-I32</f>
        <v>0</v>
      </c>
      <c r="G32" s="14">
        <f>F32/E32%</f>
        <v>0</v>
      </c>
      <c r="H32" s="183">
        <f>+K32+N32+Q32+T32+W32+Z32+AC32+AF32+AI32+AL32+AO32</f>
        <v>52423</v>
      </c>
      <c r="I32" s="183">
        <f>+L32+O32+R32+U32+X32+AA32+AD32+AG32+AJ32+AM32+AP32</f>
        <v>0</v>
      </c>
      <c r="J32" s="14">
        <f>I32/H32%</f>
        <v>0</v>
      </c>
      <c r="K32" s="183">
        <v>3649</v>
      </c>
      <c r="L32" s="183"/>
      <c r="M32" s="14">
        <f>L32/K32%</f>
        <v>0</v>
      </c>
      <c r="N32" s="183">
        <v>3900</v>
      </c>
      <c r="O32" s="183"/>
      <c r="P32" s="14">
        <f>O32/N32%</f>
        <v>0</v>
      </c>
      <c r="Q32" s="183">
        <v>1500</v>
      </c>
      <c r="R32" s="183"/>
      <c r="S32" s="14">
        <f>R32/Q32%</f>
        <v>0</v>
      </c>
      <c r="T32" s="183">
        <v>6074</v>
      </c>
      <c r="U32" s="183"/>
      <c r="V32" s="14">
        <f>U32/T32%</f>
        <v>0</v>
      </c>
      <c r="W32" s="183">
        <v>5800</v>
      </c>
      <c r="X32" s="183"/>
      <c r="Y32" s="14">
        <f>X32/W32%</f>
        <v>0</v>
      </c>
      <c r="Z32" s="183">
        <v>3650</v>
      </c>
      <c r="AA32" s="183"/>
      <c r="AB32" s="14">
        <f>AA32/Z32%</f>
        <v>0</v>
      </c>
      <c r="AC32" s="183">
        <v>7200</v>
      </c>
      <c r="AD32" s="183"/>
      <c r="AE32" s="14">
        <f>AD32/AC32%</f>
        <v>0</v>
      </c>
      <c r="AF32" s="183">
        <v>5000</v>
      </c>
      <c r="AG32" s="183"/>
      <c r="AH32" s="14">
        <f>AG32/AF32%</f>
        <v>0</v>
      </c>
      <c r="AI32" s="183">
        <v>4400</v>
      </c>
      <c r="AJ32" s="183"/>
      <c r="AK32" s="14">
        <f>AJ32/AI32%</f>
        <v>0</v>
      </c>
      <c r="AL32" s="183">
        <v>5500</v>
      </c>
      <c r="AM32" s="183"/>
      <c r="AN32" s="14">
        <f>AM32/AL32%</f>
        <v>0</v>
      </c>
      <c r="AO32" s="183">
        <v>5750</v>
      </c>
      <c r="AP32" s="183"/>
      <c r="AQ32" s="14">
        <f>AP32/AO32%</f>
        <v>0</v>
      </c>
    </row>
    <row r="33" spans="1:43" s="15" customFormat="1" ht="14.25" x14ac:dyDescent="0.2">
      <c r="A33" s="185" t="s">
        <v>30</v>
      </c>
      <c r="B33" s="3">
        <v>418299</v>
      </c>
      <c r="C33" s="3">
        <f>105134.53+29031.703-46721.268-16056.88</f>
        <v>71388.085000000006</v>
      </c>
      <c r="D33" s="14">
        <f>C33/B33%</f>
        <v>17.066281535456696</v>
      </c>
      <c r="E33" s="3">
        <f>+B33-H33</f>
        <v>152058</v>
      </c>
      <c r="F33" s="3">
        <f>+C33-I33</f>
        <v>40514.003000000004</v>
      </c>
      <c r="G33" s="14">
        <f>F33/E33%</f>
        <v>26.643782635573274</v>
      </c>
      <c r="H33" s="3">
        <f>+K33+N33+Q33+T33+W33+Z33+AC33+AF33+AI33+AL33+AO33</f>
        <v>266241</v>
      </c>
      <c r="I33" s="3">
        <f>+L33+O33+R33+U33+X33+AA33+AD33+AG33+AJ33+AM33+AP33</f>
        <v>30874.082000000002</v>
      </c>
      <c r="J33" s="14">
        <f>I33/H33%</f>
        <v>11.596291330035571</v>
      </c>
      <c r="K33" s="3">
        <v>19275</v>
      </c>
      <c r="L33" s="3">
        <f>1957+355</f>
        <v>2312</v>
      </c>
      <c r="M33" s="14">
        <f>L33/K33%</f>
        <v>11.994811932555123</v>
      </c>
      <c r="N33" s="3">
        <v>13809</v>
      </c>
      <c r="O33" s="3">
        <f>989.318+23.1</f>
        <v>1012.418</v>
      </c>
      <c r="P33" s="14">
        <f>O33/N33%</f>
        <v>7.33158085306684</v>
      </c>
      <c r="Q33" s="3">
        <v>23030</v>
      </c>
      <c r="R33" s="3">
        <f>1795.401+84.3</f>
        <v>1879.701</v>
      </c>
      <c r="S33" s="14">
        <f>R33/Q33%</f>
        <v>8.1619669995657826</v>
      </c>
      <c r="T33" s="3">
        <v>32570</v>
      </c>
      <c r="U33" s="3">
        <f>1740.933+473.42</f>
        <v>2214.3530000000001</v>
      </c>
      <c r="V33" s="14">
        <f>U33/T33%</f>
        <v>6.7987503837887635</v>
      </c>
      <c r="W33" s="3">
        <v>27403</v>
      </c>
      <c r="X33" s="3">
        <v>2449.5030000000002</v>
      </c>
      <c r="Y33" s="14">
        <f>X33/W33%</f>
        <v>8.9388132686202262</v>
      </c>
      <c r="Z33" s="3">
        <v>25316</v>
      </c>
      <c r="AA33" s="3">
        <f>2319+105</f>
        <v>2424</v>
      </c>
      <c r="AB33" s="14">
        <f>AA33/Z33%</f>
        <v>9.5749723495022909</v>
      </c>
      <c r="AC33" s="3">
        <v>22130</v>
      </c>
      <c r="AD33" s="3">
        <f>2899.041+1440.383</f>
        <v>4339.424</v>
      </c>
      <c r="AE33" s="14">
        <f>AD33/AC33%</f>
        <v>19.608784455490284</v>
      </c>
      <c r="AF33" s="3">
        <v>26357</v>
      </c>
      <c r="AG33" s="3">
        <v>3572.7620000000002</v>
      </c>
      <c r="AH33" s="14">
        <f>AG33/AF33%</f>
        <v>13.555268050233336</v>
      </c>
      <c r="AI33" s="3">
        <v>25005</v>
      </c>
      <c r="AJ33" s="3">
        <f>1490.085+1153.3</f>
        <v>2643.3850000000002</v>
      </c>
      <c r="AK33" s="14">
        <f>AJ33/AI33%</f>
        <v>10.571425714857028</v>
      </c>
      <c r="AL33" s="3">
        <v>22743</v>
      </c>
      <c r="AM33" s="3">
        <f>2452.615+1285</f>
        <v>3737.6149999999998</v>
      </c>
      <c r="AN33" s="14">
        <f>AM33/AL33%</f>
        <v>16.434133579562943</v>
      </c>
      <c r="AO33" s="3">
        <v>28603</v>
      </c>
      <c r="AP33" s="3">
        <f>2596.601+1692.32</f>
        <v>4288.9210000000003</v>
      </c>
      <c r="AQ33" s="14">
        <f>AP33/AO33%</f>
        <v>14.9946544068804</v>
      </c>
    </row>
    <row r="34" spans="1:43" s="15" customFormat="1" ht="14.25" x14ac:dyDescent="0.2">
      <c r="A34" s="185" t="s">
        <v>31</v>
      </c>
      <c r="B34" s="3">
        <v>197557</v>
      </c>
      <c r="C34" s="3">
        <f>10656.251-2168.693-60</f>
        <v>8427.5580000000009</v>
      </c>
      <c r="D34" s="14">
        <f>C34/B34%</f>
        <v>4.2658868073518033</v>
      </c>
      <c r="E34" s="3">
        <f>+B34-H34</f>
        <v>35825</v>
      </c>
      <c r="F34" s="3">
        <f>+C34-I34</f>
        <v>267.73300000000108</v>
      </c>
      <c r="G34" s="14">
        <f>F34/E34%</f>
        <v>0.74733565945569036</v>
      </c>
      <c r="H34" s="3">
        <f>+K34+N34+Q34+T34+W34+Z34+AC34+AF34+AI34+AL34+AO34</f>
        <v>161732</v>
      </c>
      <c r="I34" s="3">
        <f>+L34+O34+R34+U34+X34+AA34+AD34+AG34+AJ34+AM34+AP34</f>
        <v>8159.8249999999998</v>
      </c>
      <c r="J34" s="14">
        <f>I34/H34%</f>
        <v>5.0452755175228159</v>
      </c>
      <c r="K34" s="3">
        <v>67036</v>
      </c>
      <c r="L34" s="3">
        <v>99</v>
      </c>
      <c r="M34" s="14">
        <f>L34/K34%</f>
        <v>0.14768184259204009</v>
      </c>
      <c r="N34" s="3">
        <v>19784</v>
      </c>
      <c r="O34" s="3">
        <v>0</v>
      </c>
      <c r="P34" s="14">
        <f>O34/N34%</f>
        <v>0</v>
      </c>
      <c r="Q34" s="3">
        <v>9700</v>
      </c>
      <c r="R34" s="3">
        <v>0</v>
      </c>
      <c r="S34" s="14">
        <f>R34/Q34%</f>
        <v>0</v>
      </c>
      <c r="T34" s="3">
        <v>13000</v>
      </c>
      <c r="U34" s="3">
        <v>0</v>
      </c>
      <c r="V34" s="14">
        <f>U34/T34%</f>
        <v>0</v>
      </c>
      <c r="W34" s="3">
        <v>7400</v>
      </c>
      <c r="X34" s="3">
        <v>0</v>
      </c>
      <c r="Y34" s="14">
        <f>X34/W34%</f>
        <v>0</v>
      </c>
      <c r="Z34" s="3">
        <v>6980</v>
      </c>
      <c r="AA34" s="3">
        <v>0</v>
      </c>
      <c r="AB34" s="14">
        <f>AA34/Z34%</f>
        <v>0</v>
      </c>
      <c r="AC34" s="3">
        <v>6432</v>
      </c>
      <c r="AD34" s="3">
        <v>82.027000000000001</v>
      </c>
      <c r="AE34" s="14">
        <f>AD34/AC34%</f>
        <v>1.2752953980099504</v>
      </c>
      <c r="AF34" s="3">
        <v>6000</v>
      </c>
      <c r="AG34" s="3">
        <f>7839.705-60</f>
        <v>7779.7049999999999</v>
      </c>
      <c r="AH34" s="14">
        <f>AG34/AF34%</f>
        <v>129.66175000000001</v>
      </c>
      <c r="AI34" s="3">
        <v>8100</v>
      </c>
      <c r="AJ34" s="3">
        <v>127.857</v>
      </c>
      <c r="AK34" s="14">
        <f>AJ34/AI34%</f>
        <v>1.5784814814814814</v>
      </c>
      <c r="AL34" s="3">
        <v>6300</v>
      </c>
      <c r="AM34" s="3">
        <v>71.236000000000004</v>
      </c>
      <c r="AN34" s="14">
        <f>AM34/AL34%</f>
        <v>1.1307301587301588</v>
      </c>
      <c r="AO34" s="3">
        <v>11000</v>
      </c>
      <c r="AP34" s="3">
        <v>0</v>
      </c>
      <c r="AQ34" s="14">
        <f>AP34/AO34%</f>
        <v>0</v>
      </c>
    </row>
    <row r="35" spans="1:43" s="15" customFormat="1" ht="14.25" x14ac:dyDescent="0.2">
      <c r="A35" s="185" t="s">
        <v>117</v>
      </c>
      <c r="B35" s="3">
        <v>1129084</v>
      </c>
      <c r="C35" s="3">
        <f>350765.216-1413.032</f>
        <v>349352.18400000001</v>
      </c>
      <c r="D35" s="14">
        <f>C35/B35%</f>
        <v>30.941204020250044</v>
      </c>
      <c r="E35" s="3">
        <f>+B35-H35</f>
        <v>0</v>
      </c>
      <c r="F35" s="3">
        <f>+C35-I35</f>
        <v>5.0000000046566129E-3</v>
      </c>
      <c r="G35" s="14"/>
      <c r="H35" s="3">
        <f>+K35+N35+Q35+T35+W35+Z35+AC35+AF35+AI35+AL35+AO35</f>
        <v>1129084</v>
      </c>
      <c r="I35" s="3">
        <f>+L35+O35+R35+U35+X35+AA35+AD35+AG35+AJ35+AM35+AP35</f>
        <v>349352.179</v>
      </c>
      <c r="J35" s="14">
        <f>I35/H35%</f>
        <v>30.941203577413194</v>
      </c>
      <c r="K35" s="3">
        <v>95039</v>
      </c>
      <c r="L35" s="3">
        <v>25163.167000000001</v>
      </c>
      <c r="M35" s="14">
        <f>L35/K35%</f>
        <v>26.476674838750409</v>
      </c>
      <c r="N35" s="3">
        <v>57152</v>
      </c>
      <c r="O35" s="3">
        <f>14446.475-361.92</f>
        <v>14084.555</v>
      </c>
      <c r="P35" s="14">
        <f>O35/N35%</f>
        <v>24.644028205487125</v>
      </c>
      <c r="Q35" s="3">
        <v>93056</v>
      </c>
      <c r="R35" s="3">
        <f>27961.404-16.38</f>
        <v>27945.023999999998</v>
      </c>
      <c r="S35" s="14">
        <f>R35/Q35%</f>
        <v>30.030330123796421</v>
      </c>
      <c r="T35" s="3">
        <v>139378</v>
      </c>
      <c r="U35" s="3">
        <v>42421.839</v>
      </c>
      <c r="V35" s="14">
        <f>U35/T35%</f>
        <v>30.436538765084876</v>
      </c>
      <c r="W35" s="3">
        <v>117755</v>
      </c>
      <c r="X35" s="3">
        <f>41302.415-471.294</f>
        <v>40831.120999999999</v>
      </c>
      <c r="Y35" s="14">
        <f>X35/W35%</f>
        <v>34.674638868837839</v>
      </c>
      <c r="Z35" s="3">
        <v>101671</v>
      </c>
      <c r="AA35" s="3">
        <f>29126.986-156.926</f>
        <v>28970.06</v>
      </c>
      <c r="AB35" s="14">
        <f>AA35/Z35%</f>
        <v>28.493926488379184</v>
      </c>
      <c r="AC35" s="3">
        <v>99902</v>
      </c>
      <c r="AD35" s="3">
        <v>31324.394</v>
      </c>
      <c r="AE35" s="14">
        <f>AD35/AC35%</f>
        <v>31.355122019579188</v>
      </c>
      <c r="AF35" s="3">
        <v>108960</v>
      </c>
      <c r="AG35" s="3">
        <v>36424.214</v>
      </c>
      <c r="AH35" s="14">
        <f>AG35/AF35%</f>
        <v>33.428977606461089</v>
      </c>
      <c r="AI35" s="3">
        <v>106000</v>
      </c>
      <c r="AJ35" s="3">
        <v>31395.512999999999</v>
      </c>
      <c r="AK35" s="14">
        <f>AJ35/AI35%</f>
        <v>29.618408490566036</v>
      </c>
      <c r="AL35" s="3">
        <v>105657</v>
      </c>
      <c r="AM35" s="3">
        <v>35260.819000000003</v>
      </c>
      <c r="AN35" s="14">
        <f>AM35/AL35%</f>
        <v>33.372913294907107</v>
      </c>
      <c r="AO35" s="3">
        <v>104514</v>
      </c>
      <c r="AP35" s="3">
        <f>35937.985-406.512</f>
        <v>35531.472999999998</v>
      </c>
      <c r="AQ35" s="14">
        <f>AP35/AO35%</f>
        <v>33.996854966798701</v>
      </c>
    </row>
    <row r="36" spans="1:43" s="15" customFormat="1" ht="14.25" x14ac:dyDescent="0.2">
      <c r="A36" s="185" t="s">
        <v>118</v>
      </c>
      <c r="B36" s="3">
        <f>355900+71913</f>
        <v>427813</v>
      </c>
      <c r="C36" s="3">
        <f>35293.495-9568.763+1976.06-853.877</f>
        <v>26846.915000000005</v>
      </c>
      <c r="D36" s="14">
        <f>C36/B36%</f>
        <v>6.2753855072192763</v>
      </c>
      <c r="E36" s="3">
        <f>+B36-H36</f>
        <v>168784</v>
      </c>
      <c r="F36" s="3">
        <f>+C36-I36</f>
        <v>16358.848000000004</v>
      </c>
      <c r="G36" s="14">
        <f>F36/E36%</f>
        <v>9.6921793534932252</v>
      </c>
      <c r="H36" s="3">
        <f>+K36+N36+Q36+T36+W36+Z36+AC36+AF36+AI36+AL36+AO36</f>
        <v>259029</v>
      </c>
      <c r="I36" s="3">
        <f>+L36+O36+R36+U36+X36+AA36+AD36+AG36+AJ36+AM36+AP36</f>
        <v>10488.067000000001</v>
      </c>
      <c r="J36" s="14">
        <f>I36/H36%</f>
        <v>4.0489933559562834</v>
      </c>
      <c r="K36" s="3">
        <v>2285</v>
      </c>
      <c r="L36" s="3">
        <v>470.40800000000002</v>
      </c>
      <c r="M36" s="14">
        <f>L36/K36%</f>
        <v>20.586783369803062</v>
      </c>
      <c r="N36" s="3">
        <v>27240</v>
      </c>
      <c r="O36" s="3">
        <v>755.26499999999999</v>
      </c>
      <c r="P36" s="14">
        <f>O36/N36%</f>
        <v>2.7726321585903086</v>
      </c>
      <c r="Q36" s="3">
        <v>22000</v>
      </c>
      <c r="R36" s="3">
        <v>7350.82</v>
      </c>
      <c r="S36" s="14">
        <f>R36/Q36%</f>
        <v>33.412818181818182</v>
      </c>
      <c r="T36" s="3">
        <v>21300</v>
      </c>
      <c r="U36" s="3">
        <v>396.06</v>
      </c>
      <c r="V36" s="14">
        <f>U36/T36%</f>
        <v>1.8594366197183099</v>
      </c>
      <c r="W36" s="3">
        <v>52604</v>
      </c>
      <c r="X36" s="3">
        <v>157.5</v>
      </c>
      <c r="Y36" s="14">
        <f>X36/W36%</f>
        <v>0.29940688920994601</v>
      </c>
      <c r="Z36" s="3">
        <v>16800</v>
      </c>
      <c r="AA36" s="3">
        <v>230.42400000000001</v>
      </c>
      <c r="AB36" s="14">
        <f>AA36/Z36%</f>
        <v>1.3715714285714287</v>
      </c>
      <c r="AC36" s="3">
        <v>26800</v>
      </c>
      <c r="AD36" s="3">
        <v>350</v>
      </c>
      <c r="AE36" s="14">
        <f>AD36/AC36%</f>
        <v>1.3059701492537314</v>
      </c>
      <c r="AF36" s="3">
        <v>17000</v>
      </c>
      <c r="AG36" s="3">
        <f>142.615-142.615</f>
        <v>0</v>
      </c>
      <c r="AH36" s="14">
        <f>AG36/AF36%</f>
        <v>0</v>
      </c>
      <c r="AI36" s="3">
        <v>22000</v>
      </c>
      <c r="AJ36" s="3">
        <v>356.86</v>
      </c>
      <c r="AK36" s="14">
        <f>AJ36/AI36%</f>
        <v>1.6220909090909092</v>
      </c>
      <c r="AL36" s="3">
        <v>23000</v>
      </c>
      <c r="AM36" s="3">
        <v>232.73</v>
      </c>
      <c r="AN36" s="14">
        <f>AM36/AL36%</f>
        <v>1.0118695652173912</v>
      </c>
      <c r="AO36" s="3">
        <v>28000</v>
      </c>
      <c r="AP36" s="3">
        <v>188</v>
      </c>
      <c r="AQ36" s="14">
        <f>AP36/AO36%</f>
        <v>0.67142857142857137</v>
      </c>
    </row>
    <row r="37" spans="1:43" s="15" customFormat="1" ht="28.5" x14ac:dyDescent="0.2">
      <c r="A37" s="187" t="s">
        <v>119</v>
      </c>
      <c r="B37" s="3">
        <v>11500</v>
      </c>
      <c r="C37" s="3">
        <v>674.08</v>
      </c>
      <c r="D37" s="14">
        <f>C37/B37%</f>
        <v>5.8615652173913046</v>
      </c>
      <c r="E37" s="3">
        <f>+B37-H37</f>
        <v>11500</v>
      </c>
      <c r="F37" s="3">
        <f>+C37-I37</f>
        <v>674.08</v>
      </c>
      <c r="G37" s="14"/>
      <c r="H37" s="3">
        <f>+K37+N37+Q37+T37+W37+Z37+AC37+AF37+AI37+AL37+AO37</f>
        <v>0</v>
      </c>
      <c r="I37" s="3">
        <f>+L37+O37+R37+U37+X37+AA37+AD37+AG37+AJ37+AM37+AP37</f>
        <v>0</v>
      </c>
      <c r="J37" s="14"/>
      <c r="K37" s="3"/>
      <c r="L37" s="3"/>
      <c r="M37" s="14"/>
      <c r="N37" s="3"/>
      <c r="O37" s="3"/>
      <c r="P37" s="14"/>
      <c r="Q37" s="3"/>
      <c r="R37" s="3"/>
      <c r="S37" s="14"/>
      <c r="T37" s="3"/>
      <c r="U37" s="3"/>
      <c r="V37" s="14"/>
      <c r="W37" s="3"/>
      <c r="X37" s="3"/>
      <c r="Y37" s="14"/>
      <c r="Z37" s="3"/>
      <c r="AA37" s="3"/>
      <c r="AB37" s="14"/>
      <c r="AC37" s="3"/>
      <c r="AD37" s="3"/>
      <c r="AE37" s="14"/>
      <c r="AF37" s="3"/>
      <c r="AG37" s="3"/>
      <c r="AH37" s="14"/>
      <c r="AI37" s="3"/>
      <c r="AJ37" s="3"/>
      <c r="AK37" s="14"/>
      <c r="AL37" s="3"/>
      <c r="AM37" s="3"/>
      <c r="AN37" s="14"/>
      <c r="AO37" s="3"/>
      <c r="AP37" s="3"/>
      <c r="AQ37" s="14"/>
    </row>
    <row r="38" spans="1:43" s="15" customFormat="1" ht="14.25" x14ac:dyDescent="0.2">
      <c r="A38" s="185" t="s">
        <v>57</v>
      </c>
      <c r="B38" s="3">
        <v>1170</v>
      </c>
      <c r="C38" s="3"/>
      <c r="D38" s="14">
        <f>C38/B38%</f>
        <v>0</v>
      </c>
      <c r="E38" s="3">
        <f>+B38-H38</f>
        <v>1170</v>
      </c>
      <c r="F38" s="3">
        <f>+C38-I38</f>
        <v>0</v>
      </c>
      <c r="G38" s="14">
        <f>F38/E38%</f>
        <v>0</v>
      </c>
      <c r="H38" s="3">
        <f>+K38+N38+Q38+T38+W38+Z38+AC38+AF38+AI38+AL38+AO38</f>
        <v>0</v>
      </c>
      <c r="I38" s="3">
        <f>+L38+O38+R38+U38+X38+AA38+AD38+AG38+AJ38+AM38+AP38</f>
        <v>0</v>
      </c>
      <c r="J38" s="14"/>
      <c r="K38" s="3">
        <v>0</v>
      </c>
      <c r="L38" s="3"/>
      <c r="M38" s="14"/>
      <c r="N38" s="3">
        <v>0</v>
      </c>
      <c r="O38" s="3"/>
      <c r="P38" s="14"/>
      <c r="Q38" s="3">
        <v>0</v>
      </c>
      <c r="R38" s="3"/>
      <c r="S38" s="14"/>
      <c r="T38" s="3">
        <v>0</v>
      </c>
      <c r="U38" s="3"/>
      <c r="V38" s="14"/>
      <c r="W38" s="3">
        <v>0</v>
      </c>
      <c r="X38" s="3"/>
      <c r="Y38" s="14"/>
      <c r="Z38" s="3">
        <v>0</v>
      </c>
      <c r="AA38" s="3"/>
      <c r="AB38" s="14"/>
      <c r="AC38" s="3">
        <v>0</v>
      </c>
      <c r="AD38" s="3"/>
      <c r="AE38" s="14"/>
      <c r="AF38" s="3">
        <v>0</v>
      </c>
      <c r="AG38" s="3"/>
      <c r="AH38" s="14"/>
      <c r="AI38" s="3">
        <v>0</v>
      </c>
      <c r="AJ38" s="3"/>
      <c r="AK38" s="14"/>
      <c r="AL38" s="3">
        <v>0</v>
      </c>
      <c r="AM38" s="3"/>
      <c r="AN38" s="14"/>
      <c r="AO38" s="3">
        <v>0</v>
      </c>
      <c r="AP38" s="3"/>
      <c r="AQ38" s="14"/>
    </row>
    <row r="39" spans="1:43" s="15" customFormat="1" ht="14.25" x14ac:dyDescent="0.2">
      <c r="A39" s="188" t="s">
        <v>32</v>
      </c>
      <c r="B39" s="3">
        <v>316797</v>
      </c>
      <c r="C39" s="3"/>
      <c r="D39" s="14">
        <f>C39/B39%</f>
        <v>0</v>
      </c>
      <c r="E39" s="3">
        <f>+B39-H39</f>
        <v>154637</v>
      </c>
      <c r="F39" s="3">
        <f>+C39-I39</f>
        <v>0</v>
      </c>
      <c r="G39" s="14">
        <f>F39/E39%</f>
        <v>0</v>
      </c>
      <c r="H39" s="3">
        <f>+K39+N39+Q39+T39+W39+Z39+AC39+AF39+AI39+AL39+AO39</f>
        <v>162160</v>
      </c>
      <c r="I39" s="3">
        <f>+L39+O39+R39+U39+X39+AA39+AD39+AG39+AJ39+AM39+AP39</f>
        <v>0</v>
      </c>
      <c r="J39" s="14"/>
      <c r="K39" s="3">
        <v>19095</v>
      </c>
      <c r="L39" s="3"/>
      <c r="M39" s="14"/>
      <c r="N39" s="3">
        <v>9709</v>
      </c>
      <c r="O39" s="3"/>
      <c r="P39" s="14"/>
      <c r="Q39" s="3">
        <v>13327</v>
      </c>
      <c r="R39" s="3"/>
      <c r="S39" s="14"/>
      <c r="T39" s="3">
        <v>20284</v>
      </c>
      <c r="U39" s="3"/>
      <c r="V39" s="14"/>
      <c r="W39" s="3">
        <v>15653</v>
      </c>
      <c r="X39" s="3"/>
      <c r="Y39" s="14"/>
      <c r="Z39" s="3">
        <v>14818</v>
      </c>
      <c r="AA39" s="3"/>
      <c r="AB39" s="14"/>
      <c r="AC39" s="3">
        <v>13637</v>
      </c>
      <c r="AD39" s="3"/>
      <c r="AE39" s="14"/>
      <c r="AF39" s="3">
        <v>14961</v>
      </c>
      <c r="AG39" s="3"/>
      <c r="AH39" s="14"/>
      <c r="AI39" s="3">
        <v>14122</v>
      </c>
      <c r="AJ39" s="3"/>
      <c r="AK39" s="14"/>
      <c r="AL39" s="3">
        <v>13072</v>
      </c>
      <c r="AM39" s="3"/>
      <c r="AN39" s="14"/>
      <c r="AO39" s="3">
        <v>13482</v>
      </c>
      <c r="AP39" s="3"/>
      <c r="AQ39" s="14"/>
    </row>
    <row r="40" spans="1:43" s="15" customFormat="1" ht="28.5" x14ac:dyDescent="0.2">
      <c r="A40" s="187" t="s">
        <v>81</v>
      </c>
      <c r="B40" s="3">
        <v>625088</v>
      </c>
      <c r="C40" s="3"/>
      <c r="D40" s="14">
        <f>C40/B40%</f>
        <v>0</v>
      </c>
      <c r="E40" s="3">
        <f>+B40-H40</f>
        <v>454283</v>
      </c>
      <c r="F40" s="3">
        <f>+C40-I40</f>
        <v>0</v>
      </c>
      <c r="G40" s="14"/>
      <c r="H40" s="3">
        <f>+K40+N40+Q40+T40+W40+Z40+AC40+AF40+AI40+AL40+AO40</f>
        <v>170805</v>
      </c>
      <c r="I40" s="3">
        <f>+L40+O40+R40+U40+X40+AA40+AD40+AG40+AJ40+AM40+AP40</f>
        <v>0</v>
      </c>
      <c r="J40" s="14"/>
      <c r="K40" s="3">
        <v>103670</v>
      </c>
      <c r="L40" s="3"/>
      <c r="M40" s="14"/>
      <c r="N40" s="3">
        <v>56974</v>
      </c>
      <c r="O40" s="3"/>
      <c r="P40" s="14"/>
      <c r="Q40" s="3"/>
      <c r="R40" s="3"/>
      <c r="S40" s="14"/>
      <c r="T40" s="3"/>
      <c r="U40" s="3"/>
      <c r="V40" s="14"/>
      <c r="W40" s="3"/>
      <c r="X40" s="3"/>
      <c r="Y40" s="14"/>
      <c r="Z40" s="3"/>
      <c r="AA40" s="3"/>
      <c r="AB40" s="14"/>
      <c r="AC40" s="3"/>
      <c r="AD40" s="3"/>
      <c r="AE40" s="14"/>
      <c r="AF40" s="3"/>
      <c r="AG40" s="3"/>
      <c r="AH40" s="14"/>
      <c r="AI40" s="3"/>
      <c r="AJ40" s="3"/>
      <c r="AK40" s="14"/>
      <c r="AL40" s="3"/>
      <c r="AM40" s="3"/>
      <c r="AN40" s="14"/>
      <c r="AO40" s="3">
        <v>10161</v>
      </c>
      <c r="AP40" s="3"/>
      <c r="AQ40" s="14"/>
    </row>
    <row r="41" spans="1:43" s="15" customFormat="1" ht="14.25" x14ac:dyDescent="0.2">
      <c r="A41" s="189" t="s">
        <v>51</v>
      </c>
      <c r="B41" s="190">
        <f>+B42+B45+B46</f>
        <v>4008994</v>
      </c>
      <c r="C41" s="190">
        <f t="shared" ref="C41" si="24">+C42+C45+C46</f>
        <v>706987.7093490999</v>
      </c>
      <c r="D41" s="14">
        <f>C41/B41%</f>
        <v>17.635040345510617</v>
      </c>
      <c r="E41" s="190">
        <f>+B41-H41</f>
        <v>4007890</v>
      </c>
      <c r="F41" s="190">
        <f>+C41-I41</f>
        <v>633934.06834909995</v>
      </c>
      <c r="G41" s="14">
        <f>F41/E41%</f>
        <v>15.817152375666495</v>
      </c>
      <c r="H41" s="190">
        <f>+K41+N41+Q41+T41+W41+Z41+AC41+AF41+AI41+AL41+AO41</f>
        <v>1104</v>
      </c>
      <c r="I41" s="190">
        <f>+L41+O41+R41+U41+X41+AA41+AD41+AG41+AJ41+AM41+AP41</f>
        <v>73053.641000000003</v>
      </c>
      <c r="J41" s="175">
        <f>I41/H41%</f>
        <v>6617.1776268115946</v>
      </c>
      <c r="K41" s="190">
        <f t="shared" ref="K41" si="25">+K42+K45</f>
        <v>120</v>
      </c>
      <c r="L41" s="190">
        <f t="shared" ref="L41" si="26">+L42+L45+L46</f>
        <v>7582.7020000000002</v>
      </c>
      <c r="M41" s="14">
        <f>L41/K41%</f>
        <v>6318.918333333334</v>
      </c>
      <c r="N41" s="190">
        <f t="shared" ref="N41" si="27">+N42+N45</f>
        <v>120</v>
      </c>
      <c r="O41" s="190">
        <f t="shared" ref="O41" si="28">+O42+O45+O46</f>
        <v>361.92</v>
      </c>
      <c r="P41" s="14">
        <f>O41/N41%</f>
        <v>301.60000000000002</v>
      </c>
      <c r="Q41" s="190">
        <f t="shared" ref="Q41" si="29">+Q42+Q45</f>
        <v>105</v>
      </c>
      <c r="R41" s="190">
        <f t="shared" ref="R41" si="30">+R42+R45+R46</f>
        <v>47.536999999999999</v>
      </c>
      <c r="S41" s="14">
        <f>R41/Q41%</f>
        <v>45.273333333333333</v>
      </c>
      <c r="T41" s="190">
        <f t="shared" ref="T41" si="31">+T42+T45</f>
        <v>120</v>
      </c>
      <c r="U41" s="190">
        <f t="shared" ref="U41" si="32">+U42+U45+U46</f>
        <v>2095.817</v>
      </c>
      <c r="V41" s="14">
        <f>U41/T41%</f>
        <v>1746.5141666666668</v>
      </c>
      <c r="W41" s="190">
        <f t="shared" ref="W41" si="33">+W42+W45</f>
        <v>82</v>
      </c>
      <c r="X41" s="190">
        <f t="shared" ref="X41" si="34">+X42+X45+X46</f>
        <v>6429.8789999999999</v>
      </c>
      <c r="Y41" s="14">
        <f>X41/W41%</f>
        <v>7841.315853658537</v>
      </c>
      <c r="Z41" s="190">
        <f t="shared" ref="Z41" si="35">+Z42+Z45</f>
        <v>120</v>
      </c>
      <c r="AA41" s="190">
        <f t="shared" ref="AA41" si="36">+AA42+AA45+AA46</f>
        <v>3411.991</v>
      </c>
      <c r="AB41" s="14">
        <f>AA41/Z41%</f>
        <v>2843.3258333333333</v>
      </c>
      <c r="AC41" s="190">
        <f t="shared" ref="AC41" si="37">+AC42+AC45</f>
        <v>120</v>
      </c>
      <c r="AD41" s="190">
        <f t="shared" ref="AD41" si="38">+AD42+AD45+AD46</f>
        <v>2235.67</v>
      </c>
      <c r="AE41" s="14">
        <f>AD41/AC41%</f>
        <v>1863.0583333333334</v>
      </c>
      <c r="AF41" s="190">
        <f t="shared" ref="AF41" si="39">+AF42+AF45</f>
        <v>82</v>
      </c>
      <c r="AG41" s="190">
        <f t="shared" ref="AG41" si="40">+AG42+AG45+AG46</f>
        <v>1951.059</v>
      </c>
      <c r="AH41" s="14">
        <f>AG41/AF41%</f>
        <v>2379.3402439024389</v>
      </c>
      <c r="AI41" s="190">
        <f t="shared" ref="AI41" si="41">+AI42+AI45</f>
        <v>70</v>
      </c>
      <c r="AJ41" s="190">
        <f t="shared" ref="AJ41" si="42">+AJ42+AJ45+AJ46</f>
        <v>34316.959000000003</v>
      </c>
      <c r="AK41" s="175">
        <f>AJ41/AI41%</f>
        <v>49024.227142857148</v>
      </c>
      <c r="AL41" s="190">
        <f t="shared" ref="AL41" si="43">+AL42+AL45</f>
        <v>60</v>
      </c>
      <c r="AM41" s="190">
        <f t="shared" ref="AM41" si="44">+AM42+AM45+AM46</f>
        <v>3733.3869999999997</v>
      </c>
      <c r="AN41" s="14">
        <f>AM41/AL41%</f>
        <v>6222.3116666666665</v>
      </c>
      <c r="AO41" s="190">
        <f t="shared" ref="AO41" si="45">+AO42+AO45</f>
        <v>105</v>
      </c>
      <c r="AP41" s="190">
        <f t="shared" ref="AP41" si="46">+AP42+AP45+AP46</f>
        <v>10886.72</v>
      </c>
      <c r="AQ41" s="14">
        <f>AP41/AO41%</f>
        <v>10368.304761904761</v>
      </c>
    </row>
    <row r="42" spans="1:43" x14ac:dyDescent="0.25">
      <c r="A42" s="191" t="s">
        <v>52</v>
      </c>
      <c r="B42" s="4">
        <v>3329510</v>
      </c>
      <c r="C42" s="4">
        <v>607708.79999999993</v>
      </c>
      <c r="D42" s="174">
        <f>C42/B42%</f>
        <v>18.252199272565633</v>
      </c>
      <c r="E42" s="4">
        <f>+B42-H42</f>
        <v>3329510</v>
      </c>
      <c r="F42" s="4">
        <f>+C42-I42</f>
        <v>607708.79999999993</v>
      </c>
      <c r="G42" s="174">
        <f>F42/E42%</f>
        <v>18.252199272565633</v>
      </c>
      <c r="H42" s="4">
        <f>+K42+N42+Q42+T42+W42+Z42+AC42+AF42+AI42+AL42+AO42</f>
        <v>0</v>
      </c>
      <c r="I42" s="4">
        <f>+L42+O42+R42+U42+X42+AA42+AD42+AG42+AJ42+AM42+AP42</f>
        <v>0</v>
      </c>
      <c r="J42" s="174"/>
      <c r="K42" s="4">
        <v>0</v>
      </c>
      <c r="L42" s="4"/>
      <c r="M42" s="174"/>
      <c r="N42" s="4">
        <v>0</v>
      </c>
      <c r="O42" s="4"/>
      <c r="P42" s="174"/>
      <c r="Q42" s="4">
        <v>0</v>
      </c>
      <c r="R42" s="4"/>
      <c r="S42" s="174"/>
      <c r="T42" s="4">
        <v>0</v>
      </c>
      <c r="U42" s="4"/>
      <c r="V42" s="174"/>
      <c r="W42" s="4">
        <v>0</v>
      </c>
      <c r="X42" s="4"/>
      <c r="Y42" s="174"/>
      <c r="Z42" s="4">
        <v>0</v>
      </c>
      <c r="AA42" s="4"/>
      <c r="AB42" s="174"/>
      <c r="AC42" s="4">
        <v>0</v>
      </c>
      <c r="AD42" s="4"/>
      <c r="AE42" s="174"/>
      <c r="AF42" s="4">
        <v>0</v>
      </c>
      <c r="AG42" s="4"/>
      <c r="AH42" s="174"/>
      <c r="AI42" s="4">
        <v>0</v>
      </c>
      <c r="AJ42" s="4"/>
      <c r="AK42" s="174"/>
      <c r="AL42" s="4">
        <v>0</v>
      </c>
      <c r="AM42" s="4"/>
      <c r="AN42" s="174"/>
      <c r="AO42" s="4">
        <v>0</v>
      </c>
      <c r="AP42" s="4"/>
      <c r="AQ42" s="174"/>
    </row>
    <row r="43" spans="1:43" hidden="1" x14ac:dyDescent="0.25">
      <c r="A43" s="191" t="s">
        <v>53</v>
      </c>
      <c r="B43" s="4"/>
      <c r="C43" s="4"/>
      <c r="D43" s="174" t="e">
        <f>C43/B43%</f>
        <v>#DIV/0!</v>
      </c>
      <c r="E43" s="4">
        <f>+B43-H43</f>
        <v>0</v>
      </c>
      <c r="F43" s="4">
        <f>+C43-I43</f>
        <v>0</v>
      </c>
      <c r="G43" s="174"/>
      <c r="H43" s="4">
        <f>+K43+N43+Q43+T43+W43+Z43+AC43+AF43+AI43+AL43+AO43</f>
        <v>0</v>
      </c>
      <c r="I43" s="4">
        <f>+L43+O43+R43+U43+X43+AA43+AD43+AG43+AJ43+AM43+AP43</f>
        <v>0</v>
      </c>
      <c r="J43" s="174"/>
      <c r="K43" s="4"/>
      <c r="L43" s="4"/>
      <c r="M43" s="174"/>
      <c r="N43" s="4"/>
      <c r="O43" s="4"/>
      <c r="P43" s="174"/>
      <c r="Q43" s="4"/>
      <c r="R43" s="4"/>
      <c r="S43" s="174"/>
      <c r="T43" s="4"/>
      <c r="U43" s="4"/>
      <c r="V43" s="174"/>
      <c r="W43" s="4"/>
      <c r="X43" s="4"/>
      <c r="Y43" s="174"/>
      <c r="Z43" s="4"/>
      <c r="AA43" s="4"/>
      <c r="AB43" s="174"/>
      <c r="AC43" s="4"/>
      <c r="AD43" s="4"/>
      <c r="AE43" s="174"/>
      <c r="AF43" s="4"/>
      <c r="AG43" s="4"/>
      <c r="AH43" s="174"/>
      <c r="AI43" s="4"/>
      <c r="AJ43" s="4"/>
      <c r="AK43" s="174"/>
      <c r="AL43" s="4"/>
      <c r="AM43" s="4"/>
      <c r="AN43" s="174"/>
      <c r="AO43" s="4"/>
      <c r="AP43" s="4"/>
      <c r="AQ43" s="174"/>
    </row>
    <row r="44" spans="1:43" hidden="1" x14ac:dyDescent="0.25">
      <c r="A44" s="191" t="s">
        <v>54</v>
      </c>
      <c r="B44" s="4"/>
      <c r="C44" s="4"/>
      <c r="D44" s="174" t="e">
        <f>C44/B44%</f>
        <v>#DIV/0!</v>
      </c>
      <c r="E44" s="4">
        <f>+B44-H44</f>
        <v>0</v>
      </c>
      <c r="F44" s="4">
        <f>+C44-I44</f>
        <v>0</v>
      </c>
      <c r="G44" s="174" t="e">
        <f>F44/E44%</f>
        <v>#DIV/0!</v>
      </c>
      <c r="H44" s="4">
        <f>+K44+N44+Q44+T44+W44+Z44+AC44+AF44+AI44+AL44+AO44</f>
        <v>0</v>
      </c>
      <c r="I44" s="4">
        <f>+L44+O44+R44+U44+X44+AA44+AD44+AG44+AJ44+AM44+AP44</f>
        <v>0</v>
      </c>
      <c r="J44" s="174" t="e">
        <f>I44/H44%</f>
        <v>#DIV/0!</v>
      </c>
      <c r="K44" s="4"/>
      <c r="L44" s="4"/>
      <c r="M44" s="174" t="e">
        <f>L44/K44%</f>
        <v>#DIV/0!</v>
      </c>
      <c r="N44" s="4"/>
      <c r="O44" s="4"/>
      <c r="P44" s="174" t="e">
        <f>O44/N44%</f>
        <v>#DIV/0!</v>
      </c>
      <c r="Q44" s="4"/>
      <c r="R44" s="4"/>
      <c r="S44" s="174" t="e">
        <f>R44/Q44%</f>
        <v>#DIV/0!</v>
      </c>
      <c r="T44" s="4"/>
      <c r="U44" s="4"/>
      <c r="V44" s="174" t="e">
        <f>U44/T44%</f>
        <v>#DIV/0!</v>
      </c>
      <c r="W44" s="4"/>
      <c r="X44" s="4"/>
      <c r="Y44" s="174" t="e">
        <f>X44/W44%</f>
        <v>#DIV/0!</v>
      </c>
      <c r="Z44" s="4"/>
      <c r="AA44" s="4"/>
      <c r="AB44" s="174" t="e">
        <f>AA44/Z44%</f>
        <v>#DIV/0!</v>
      </c>
      <c r="AC44" s="4"/>
      <c r="AD44" s="4"/>
      <c r="AE44" s="174" t="e">
        <f>AD44/AC44%</f>
        <v>#DIV/0!</v>
      </c>
      <c r="AF44" s="4"/>
      <c r="AG44" s="4"/>
      <c r="AH44" s="174" t="e">
        <f>AG44/AF44%</f>
        <v>#DIV/0!</v>
      </c>
      <c r="AI44" s="4"/>
      <c r="AJ44" s="4"/>
      <c r="AK44" s="174" t="e">
        <f>AJ44/AI44%</f>
        <v>#DIV/0!</v>
      </c>
      <c r="AL44" s="4"/>
      <c r="AM44" s="4"/>
      <c r="AN44" s="174" t="e">
        <f>AM44/AL44%</f>
        <v>#DIV/0!</v>
      </c>
      <c r="AO44" s="4"/>
      <c r="AP44" s="4"/>
      <c r="AQ44" s="174" t="e">
        <f>AP44/AO44%</f>
        <v>#DIV/0!</v>
      </c>
    </row>
    <row r="45" spans="1:43" x14ac:dyDescent="0.25">
      <c r="A45" s="191" t="s">
        <v>55</v>
      </c>
      <c r="B45" s="4">
        <v>70473</v>
      </c>
      <c r="C45" s="4">
        <v>17618.25</v>
      </c>
      <c r="D45" s="174">
        <f>C45/B45%</f>
        <v>25</v>
      </c>
      <c r="E45" s="4">
        <f>+B45-H45</f>
        <v>69369</v>
      </c>
      <c r="F45" s="4">
        <f>+C45-I45</f>
        <v>17618.25</v>
      </c>
      <c r="G45" s="174">
        <f>F45/E45%</f>
        <v>25.397872248410671</v>
      </c>
      <c r="H45" s="4">
        <f>+K45+N45+Q45+T45+W45+Z45+AC45+AF45+AI45+AL45+AO45</f>
        <v>1104</v>
      </c>
      <c r="I45" s="4">
        <f>+L45+O45+R45+U45+X45+AA45+AD45+AG45+AJ45+AM45+AP45</f>
        <v>0</v>
      </c>
      <c r="J45" s="174">
        <f>I45/H45%</f>
        <v>0</v>
      </c>
      <c r="K45" s="4">
        <v>120</v>
      </c>
      <c r="L45" s="4"/>
      <c r="M45" s="174">
        <f>L45/K45%</f>
        <v>0</v>
      </c>
      <c r="N45" s="4">
        <v>120</v>
      </c>
      <c r="O45" s="4"/>
      <c r="P45" s="174">
        <f>O45/N45%</f>
        <v>0</v>
      </c>
      <c r="Q45" s="4">
        <v>105</v>
      </c>
      <c r="R45" s="4"/>
      <c r="S45" s="174">
        <f>R45/Q45%</f>
        <v>0</v>
      </c>
      <c r="T45" s="4">
        <v>120</v>
      </c>
      <c r="U45" s="4"/>
      <c r="V45" s="174">
        <f>U45/T45%</f>
        <v>0</v>
      </c>
      <c r="W45" s="4">
        <v>82</v>
      </c>
      <c r="X45" s="4"/>
      <c r="Y45" s="174">
        <f>X45/W45%</f>
        <v>0</v>
      </c>
      <c r="Z45" s="4">
        <v>120</v>
      </c>
      <c r="AA45" s="4"/>
      <c r="AB45" s="174">
        <f>AA45/Z45%</f>
        <v>0</v>
      </c>
      <c r="AC45" s="4">
        <v>120</v>
      </c>
      <c r="AD45" s="4"/>
      <c r="AE45" s="174">
        <f>AD45/AC45%</f>
        <v>0</v>
      </c>
      <c r="AF45" s="4">
        <v>82</v>
      </c>
      <c r="AG45" s="4"/>
      <c r="AH45" s="174">
        <f>AG45/AF45%</f>
        <v>0</v>
      </c>
      <c r="AI45" s="4">
        <v>70</v>
      </c>
      <c r="AJ45" s="4"/>
      <c r="AK45" s="174">
        <f>AJ45/AI45%</f>
        <v>0</v>
      </c>
      <c r="AL45" s="4">
        <v>60</v>
      </c>
      <c r="AM45" s="4"/>
      <c r="AN45" s="174">
        <f>AM45/AL45%</f>
        <v>0</v>
      </c>
      <c r="AO45" s="4">
        <v>105</v>
      </c>
      <c r="AP45" s="4"/>
      <c r="AQ45" s="174">
        <f>AP45/AO45%</f>
        <v>0</v>
      </c>
    </row>
    <row r="46" spans="1:43" x14ac:dyDescent="0.25">
      <c r="A46" s="191" t="s">
        <v>120</v>
      </c>
      <c r="B46" s="4">
        <v>609011</v>
      </c>
      <c r="C46" s="4">
        <f>+C47+C48</f>
        <v>81660.659349099995</v>
      </c>
      <c r="D46" s="174">
        <f>C46/B46%</f>
        <v>13.408733068713044</v>
      </c>
      <c r="E46" s="4">
        <f>+B46-H46</f>
        <v>609011</v>
      </c>
      <c r="F46" s="4">
        <f>+C46-I46</f>
        <v>8607.0183490999916</v>
      </c>
      <c r="G46" s="174"/>
      <c r="H46" s="4">
        <f>+K46+N46+Q46+T46+W46+Z46+AC46+AF46+AI46+AL46+AO46</f>
        <v>0</v>
      </c>
      <c r="I46" s="4">
        <f>+L46+O46+R46+U46+X46+AA46+AD46+AG46+AJ46+AM46+AP46</f>
        <v>73053.641000000003</v>
      </c>
      <c r="J46" s="174"/>
      <c r="K46" s="4"/>
      <c r="L46" s="4">
        <f>+L47+L48</f>
        <v>7582.7020000000002</v>
      </c>
      <c r="M46" s="174"/>
      <c r="N46" s="4"/>
      <c r="O46" s="4">
        <f>+O47+O48</f>
        <v>361.92</v>
      </c>
      <c r="P46" s="174"/>
      <c r="Q46" s="4"/>
      <c r="R46" s="4">
        <f>+R47+R48</f>
        <v>47.536999999999999</v>
      </c>
      <c r="S46" s="174"/>
      <c r="T46" s="4"/>
      <c r="U46" s="4">
        <f>+U47+U48</f>
        <v>2095.817</v>
      </c>
      <c r="V46" s="174"/>
      <c r="W46" s="4"/>
      <c r="X46" s="4">
        <f>+X47+X48</f>
        <v>6429.8789999999999</v>
      </c>
      <c r="Y46" s="174"/>
      <c r="Z46" s="4"/>
      <c r="AA46" s="4">
        <f>+AA47+AA48</f>
        <v>3411.991</v>
      </c>
      <c r="AB46" s="174"/>
      <c r="AC46" s="4"/>
      <c r="AD46" s="4">
        <f>+AD47+AD48</f>
        <v>2235.67</v>
      </c>
      <c r="AE46" s="174"/>
      <c r="AF46" s="4"/>
      <c r="AG46" s="4">
        <f>+AG47+AG48</f>
        <v>1951.059</v>
      </c>
      <c r="AH46" s="174"/>
      <c r="AI46" s="4"/>
      <c r="AJ46" s="4">
        <f>+AJ47+AJ48</f>
        <v>34316.959000000003</v>
      </c>
      <c r="AK46" s="174"/>
      <c r="AL46" s="4"/>
      <c r="AM46" s="4">
        <f>+AM47+AM48</f>
        <v>3733.3869999999997</v>
      </c>
      <c r="AN46" s="174"/>
      <c r="AO46" s="4"/>
      <c r="AP46" s="4">
        <f>+AP47+AP48</f>
        <v>10886.72</v>
      </c>
      <c r="AQ46" s="174"/>
    </row>
    <row r="47" spans="1:43" x14ac:dyDescent="0.25">
      <c r="A47" s="191" t="s">
        <v>79</v>
      </c>
      <c r="B47" s="4">
        <v>356782</v>
      </c>
      <c r="C47" s="4">
        <v>64537.567349099991</v>
      </c>
      <c r="D47" s="174">
        <f>C47/B47%</f>
        <v>18.088795777001078</v>
      </c>
      <c r="E47" s="4">
        <f>+B47-H47</f>
        <v>356782</v>
      </c>
      <c r="F47" s="4">
        <f>+C47-I47</f>
        <v>4182.9633490999913</v>
      </c>
      <c r="G47" s="174"/>
      <c r="H47" s="4">
        <f>+K47+N47+Q47+T47+W47+Z47+AC47+AF47+AI47+AL47+AO47</f>
        <v>0</v>
      </c>
      <c r="I47" s="4">
        <f>+L47+O47+R47+U47+X47+AA47+AD47+AG47+AJ47+AM47+AP47</f>
        <v>60354.603999999999</v>
      </c>
      <c r="J47" s="174"/>
      <c r="K47" s="4"/>
      <c r="L47" s="4">
        <v>7582.7020000000002</v>
      </c>
      <c r="M47" s="174"/>
      <c r="N47" s="4"/>
      <c r="O47" s="4"/>
      <c r="P47" s="174"/>
      <c r="Q47" s="4"/>
      <c r="R47" s="4">
        <v>25.741</v>
      </c>
      <c r="S47" s="174"/>
      <c r="T47" s="4"/>
      <c r="U47" s="4">
        <v>2093.087</v>
      </c>
      <c r="V47" s="174"/>
      <c r="W47" s="4"/>
      <c r="X47" s="4">
        <v>4342.8130000000001</v>
      </c>
      <c r="Y47" s="174"/>
      <c r="Z47" s="4"/>
      <c r="AA47" s="4">
        <v>295.95699999999999</v>
      </c>
      <c r="AB47" s="174"/>
      <c r="AC47" s="4"/>
      <c r="AD47" s="4">
        <v>1094.491</v>
      </c>
      <c r="AE47" s="174"/>
      <c r="AF47" s="4"/>
      <c r="AG47" s="4">
        <v>158.85</v>
      </c>
      <c r="AH47" s="174"/>
      <c r="AI47" s="4"/>
      <c r="AJ47" s="4">
        <v>34316.959000000003</v>
      </c>
      <c r="AK47" s="174"/>
      <c r="AL47" s="4"/>
      <c r="AM47" s="4">
        <v>3119.0729999999999</v>
      </c>
      <c r="AN47" s="174"/>
      <c r="AO47" s="4"/>
      <c r="AP47" s="4">
        <v>7324.9309999999996</v>
      </c>
      <c r="AQ47" s="174"/>
    </row>
    <row r="48" spans="1:43" x14ac:dyDescent="0.25">
      <c r="A48" s="192" t="s">
        <v>80</v>
      </c>
      <c r="B48" s="193">
        <v>252229</v>
      </c>
      <c r="C48" s="193">
        <v>17123.092000000001</v>
      </c>
      <c r="D48" s="176">
        <f>C48/B48%</f>
        <v>6.7887086734673652</v>
      </c>
      <c r="E48" s="193">
        <f>+B48-H48</f>
        <v>252229</v>
      </c>
      <c r="F48" s="193">
        <f>+C48-I48</f>
        <v>4424.0549999999985</v>
      </c>
      <c r="G48" s="176"/>
      <c r="H48" s="193">
        <f>+K48+N48+Q48+T48+W48+Z48+AC48+AF48+AI48+AL48+AO48</f>
        <v>0</v>
      </c>
      <c r="I48" s="193">
        <f>+L48+O48+R48+U48+X48+AA48+AD48+AG48+AJ48+AM48+AP48</f>
        <v>12699.037000000002</v>
      </c>
      <c r="J48" s="176"/>
      <c r="K48" s="193"/>
      <c r="L48" s="193"/>
      <c r="M48" s="176"/>
      <c r="N48" s="193"/>
      <c r="O48" s="193">
        <v>361.92</v>
      </c>
      <c r="P48" s="176"/>
      <c r="Q48" s="193"/>
      <c r="R48" s="193">
        <v>21.795999999999999</v>
      </c>
      <c r="S48" s="176"/>
      <c r="T48" s="193"/>
      <c r="U48" s="193">
        <v>2.73</v>
      </c>
      <c r="V48" s="176"/>
      <c r="W48" s="193"/>
      <c r="X48" s="193">
        <v>2087.0659999999998</v>
      </c>
      <c r="Y48" s="176"/>
      <c r="Z48" s="193"/>
      <c r="AA48" s="193">
        <v>3116.0340000000001</v>
      </c>
      <c r="AB48" s="176"/>
      <c r="AC48" s="193"/>
      <c r="AD48" s="193">
        <v>1141.1790000000001</v>
      </c>
      <c r="AE48" s="176"/>
      <c r="AF48" s="193"/>
      <c r="AG48" s="193">
        <v>1792.2090000000001</v>
      </c>
      <c r="AH48" s="176"/>
      <c r="AI48" s="193"/>
      <c r="AJ48" s="193"/>
      <c r="AK48" s="176"/>
      <c r="AL48" s="193"/>
      <c r="AM48" s="193">
        <v>614.31399999999996</v>
      </c>
      <c r="AN48" s="176"/>
      <c r="AO48" s="193"/>
      <c r="AP48" s="193">
        <v>3561.7890000000002</v>
      </c>
      <c r="AQ48" s="176"/>
    </row>
  </sheetData>
  <mergeCells count="18">
    <mergeCell ref="AI5:AK5"/>
    <mergeCell ref="AL5:AN5"/>
    <mergeCell ref="AO5:AQ5"/>
    <mergeCell ref="Q5:S5"/>
    <mergeCell ref="T5:V5"/>
    <mergeCell ref="W5:Y5"/>
    <mergeCell ref="Z5:AB5"/>
    <mergeCell ref="AC5:AE5"/>
    <mergeCell ref="AF5:AH5"/>
    <mergeCell ref="A1:P1"/>
    <mergeCell ref="A5:A6"/>
    <mergeCell ref="B5:D5"/>
    <mergeCell ref="E5:G5"/>
    <mergeCell ref="H5:J5"/>
    <mergeCell ref="K5:M5"/>
    <mergeCell ref="N5:P5"/>
    <mergeCell ref="L4:M4"/>
    <mergeCell ref="B2:M2"/>
  </mergeCells>
  <pageMargins left="0.24" right="0.16" top="0.75" bottom="0.75" header="0.3" footer="0.3"/>
  <pageSetup paperSize="9" scale="79" orientation="landscape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thu </vt:lpstr>
      <vt:lpstr>chi</vt:lpstr>
      <vt:lpstr>thu ĐB</vt:lpstr>
      <vt:lpstr>chi ĐB</vt:lpstr>
      <vt:lpstr>chi!Print_Titles</vt:lpstr>
      <vt:lpstr>'chi ĐB'!Print_Titles</vt:lpstr>
      <vt:lpstr>'thu ĐB'!Print_Titles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2024-04-03T07:50:48Z</dcterms:modified>
</cp:coreProperties>
</file>